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2026 Norme si tarife\"/>
    </mc:Choice>
  </mc:AlternateContent>
  <xr:revisionPtr revIDLastSave="0" documentId="8_{5865ADB0-2045-497D-97CE-82A2A5C4B819}" xr6:coauthVersionLast="47" xr6:coauthVersionMax="47" xr10:uidLastSave="{00000000-0000-0000-0000-000000000000}"/>
  <bookViews>
    <workbookView xWindow="-120" yWindow="-120" windowWidth="29040" windowHeight="15840" firstSheet="8" activeTab="13" xr2:uid="{70F0177B-8485-4FEF-80F6-EF86CF4FDA8D}"/>
  </bookViews>
  <sheets>
    <sheet name="MOLDOVA VECHE 2024" sheetId="2" r:id="rId1"/>
    <sheet name="ORSOVA 2024" sheetId="1" r:id="rId2"/>
    <sheet name="SEVERIN 2024" sheetId="3" r:id="rId3"/>
    <sheet name="CALAFAT 2024" sheetId="4" r:id="rId4"/>
    <sheet name="RAST 2024" sheetId="5" r:id="rId5"/>
    <sheet name="BECHET 2024" sheetId="6" r:id="rId6"/>
    <sheet name="CORABIA 2024" sheetId="7" r:id="rId7"/>
    <sheet name="GIURGIU 2024" sheetId="14" r:id="rId8"/>
    <sheet name="OLTENITA 2024" sheetId="9" r:id="rId9"/>
    <sheet name="CHICIU 2024" sheetId="10" r:id="rId10"/>
    <sheet name="CALARASI COMERCIAL 2024" sheetId="12" r:id="rId11"/>
    <sheet name="CALARASI INDUSTRIAL 2024" sheetId="11" r:id="rId12"/>
    <sheet name="CERNAVODA 2024" sheetId="13" r:id="rId13"/>
    <sheet name="TOTAL APDF 2024" sheetId="15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C8" i="3"/>
  <c r="D21" i="3"/>
  <c r="D23" i="3"/>
  <c r="C23" i="3"/>
  <c r="H16" i="12"/>
  <c r="H14" i="12"/>
  <c r="H8" i="12"/>
  <c r="C16" i="12"/>
  <c r="C14" i="12"/>
  <c r="C8" i="12"/>
  <c r="C8" i="15"/>
  <c r="C37" i="15"/>
  <c r="I14" i="15"/>
  <c r="H14" i="15"/>
  <c r="C14" i="15"/>
  <c r="F9" i="15"/>
  <c r="C9" i="15"/>
  <c r="I8" i="15"/>
  <c r="H8" i="15"/>
  <c r="F8" i="15"/>
  <c r="C38" i="15"/>
  <c r="H16" i="15"/>
  <c r="C16" i="15"/>
  <c r="H8" i="10" l="1"/>
  <c r="H15" i="15"/>
  <c r="C15" i="15"/>
  <c r="E9" i="15"/>
  <c r="E8" i="15"/>
  <c r="F27" i="15"/>
  <c r="C27" i="15"/>
  <c r="I16" i="15"/>
  <c r="F16" i="15"/>
  <c r="I15" i="15"/>
  <c r="G15" i="15"/>
  <c r="D9" i="15"/>
  <c r="G8" i="15"/>
  <c r="D8" i="15"/>
  <c r="F8" i="3"/>
  <c r="G8" i="3"/>
  <c r="C23" i="15"/>
  <c r="D23" i="15"/>
  <c r="D21" i="15"/>
  <c r="I29" i="15"/>
  <c r="G29" i="15"/>
  <c r="C29" i="15"/>
  <c r="I28" i="15"/>
  <c r="G28" i="15"/>
  <c r="C28" i="15"/>
  <c r="I26" i="15"/>
  <c r="G26" i="15"/>
  <c r="F26" i="15"/>
  <c r="C26" i="15"/>
  <c r="I25" i="15"/>
  <c r="C25" i="15"/>
  <c r="I23" i="15"/>
  <c r="G23" i="15"/>
  <c r="G18" i="15"/>
  <c r="C18" i="15"/>
  <c r="I17" i="15"/>
  <c r="G17" i="15"/>
  <c r="C17" i="15"/>
  <c r="G16" i="15"/>
  <c r="I13" i="15"/>
  <c r="D13" i="15"/>
  <c r="C13" i="15"/>
  <c r="I9" i="15"/>
  <c r="G9" i="15"/>
  <c r="F14" i="15"/>
  <c r="D14" i="15"/>
  <c r="F15" i="15"/>
  <c r="G21" i="15"/>
  <c r="F21" i="15"/>
  <c r="C21" i="15"/>
  <c r="F17" i="15"/>
  <c r="H21" i="15"/>
  <c r="C35" i="15" l="1"/>
  <c r="C37" i="13" l="1"/>
  <c r="I14" i="13"/>
  <c r="C14" i="13"/>
  <c r="F9" i="13"/>
  <c r="C9" i="13"/>
  <c r="I8" i="13"/>
  <c r="F8" i="13"/>
  <c r="C8" i="13"/>
  <c r="C38" i="11"/>
  <c r="C37" i="11"/>
  <c r="H16" i="11"/>
  <c r="C16" i="11"/>
  <c r="H14" i="11"/>
  <c r="C14" i="11"/>
  <c r="H8" i="11"/>
  <c r="C8" i="11"/>
  <c r="C38" i="12"/>
  <c r="C37" i="12"/>
  <c r="C38" i="10"/>
  <c r="C37" i="10"/>
  <c r="H16" i="10"/>
  <c r="C16" i="10"/>
  <c r="H15" i="10"/>
  <c r="C15" i="10"/>
  <c r="H14" i="10"/>
  <c r="C14" i="10"/>
  <c r="E9" i="10"/>
  <c r="C9" i="10"/>
  <c r="E8" i="10"/>
  <c r="C8" i="10"/>
  <c r="C38" i="9"/>
  <c r="C37" i="9"/>
  <c r="F27" i="9"/>
  <c r="C27" i="9"/>
  <c r="I16" i="9"/>
  <c r="H16" i="9"/>
  <c r="F16" i="9"/>
  <c r="C16" i="9"/>
  <c r="G15" i="9"/>
  <c r="C15" i="9"/>
  <c r="H14" i="9"/>
  <c r="C14" i="9"/>
  <c r="F9" i="9"/>
  <c r="D8" i="9"/>
  <c r="D9" i="9"/>
  <c r="C9" i="9"/>
  <c r="I8" i="9"/>
  <c r="H8" i="9"/>
  <c r="G8" i="9"/>
  <c r="F8" i="9"/>
  <c r="C8" i="9"/>
  <c r="C38" i="14"/>
  <c r="C37" i="14"/>
  <c r="I15" i="14"/>
  <c r="C15" i="14"/>
  <c r="G15" i="14"/>
  <c r="I29" i="14"/>
  <c r="G29" i="14"/>
  <c r="C29" i="14"/>
  <c r="I26" i="14"/>
  <c r="G26" i="14"/>
  <c r="C26" i="14"/>
  <c r="I25" i="14"/>
  <c r="C25" i="14"/>
  <c r="C23" i="14"/>
  <c r="I23" i="14"/>
  <c r="G23" i="14"/>
  <c r="D23" i="14"/>
  <c r="I16" i="14"/>
  <c r="C16" i="14"/>
  <c r="I13" i="14"/>
  <c r="D13" i="14"/>
  <c r="C13" i="14"/>
  <c r="I9" i="14"/>
  <c r="F9" i="14"/>
  <c r="D9" i="14"/>
  <c r="C9" i="14"/>
  <c r="I8" i="14"/>
  <c r="G8" i="14"/>
  <c r="F8" i="14"/>
  <c r="D8" i="14"/>
  <c r="C8" i="14"/>
  <c r="C38" i="7"/>
  <c r="C37" i="7"/>
  <c r="F9" i="7"/>
  <c r="D9" i="7"/>
  <c r="C9" i="7"/>
  <c r="F8" i="7"/>
  <c r="D8" i="7"/>
  <c r="C8" i="7"/>
  <c r="C38" i="6"/>
  <c r="C37" i="6"/>
  <c r="F9" i="6"/>
  <c r="C9" i="6"/>
  <c r="F8" i="6"/>
  <c r="C8" i="6"/>
  <c r="C38" i="5"/>
  <c r="C37" i="5"/>
  <c r="F9" i="5"/>
  <c r="C9" i="5"/>
  <c r="F8" i="5"/>
  <c r="C8" i="5"/>
  <c r="C38" i="4" l="1"/>
  <c r="C37" i="4"/>
  <c r="I15" i="4"/>
  <c r="F15" i="4"/>
  <c r="C15" i="4"/>
  <c r="C9" i="4"/>
  <c r="F9" i="4"/>
  <c r="D9" i="4"/>
  <c r="I8" i="4"/>
  <c r="F8" i="4"/>
  <c r="D8" i="4"/>
  <c r="C8" i="4"/>
  <c r="C38" i="3"/>
  <c r="C37" i="3"/>
  <c r="G29" i="3"/>
  <c r="C29" i="3"/>
  <c r="G23" i="3"/>
  <c r="G21" i="3"/>
  <c r="C21" i="3"/>
  <c r="F17" i="3"/>
  <c r="C17" i="3"/>
  <c r="G16" i="3"/>
  <c r="C16" i="3"/>
  <c r="G15" i="3"/>
  <c r="C15" i="3"/>
  <c r="F9" i="3"/>
  <c r="C9" i="3"/>
  <c r="C38" i="1"/>
  <c r="C37" i="1"/>
  <c r="H21" i="1"/>
  <c r="C21" i="1"/>
  <c r="G17" i="1"/>
  <c r="F17" i="1"/>
  <c r="C17" i="1"/>
  <c r="G16" i="1"/>
  <c r="C16" i="1"/>
  <c r="H15" i="1"/>
  <c r="G15" i="1"/>
  <c r="C15" i="1"/>
  <c r="G8" i="1"/>
  <c r="H8" i="1"/>
  <c r="F8" i="1"/>
  <c r="C8" i="1"/>
  <c r="C34" i="2"/>
  <c r="C9" i="2"/>
  <c r="C37" i="2"/>
  <c r="C36" i="2"/>
  <c r="G16" i="2"/>
  <c r="F13" i="2"/>
  <c r="D13" i="2"/>
  <c r="G29" i="2"/>
  <c r="C29" i="2"/>
  <c r="F9" i="2"/>
  <c r="D9" i="2"/>
  <c r="G8" i="2"/>
  <c r="F8" i="2"/>
  <c r="D8" i="2"/>
  <c r="C8" i="2" s="1"/>
  <c r="I28" i="14"/>
  <c r="G28" i="14"/>
  <c r="C28" i="14"/>
  <c r="G16" i="14"/>
  <c r="F26" i="14"/>
  <c r="G18" i="14"/>
  <c r="C18" i="14"/>
  <c r="I17" i="14"/>
  <c r="G17" i="14"/>
  <c r="C17" i="14"/>
  <c r="C13" i="2" l="1"/>
  <c r="C35" i="14"/>
  <c r="C38" i="13" l="1"/>
  <c r="C35" i="13" s="1"/>
  <c r="H14" i="13"/>
  <c r="H8" i="13"/>
  <c r="I15" i="9"/>
  <c r="D14" i="7"/>
  <c r="C14" i="7"/>
  <c r="F14" i="7"/>
  <c r="D9" i="6"/>
  <c r="G15" i="4"/>
  <c r="G8" i="4"/>
  <c r="C35" i="12" l="1"/>
  <c r="C35" i="11"/>
  <c r="C35" i="10"/>
  <c r="C35" i="9"/>
  <c r="C35" i="7"/>
  <c r="C35" i="6"/>
  <c r="C35" i="5"/>
  <c r="C35" i="4" l="1"/>
  <c r="C35" i="3"/>
  <c r="F21" i="3"/>
  <c r="D21" i="1"/>
  <c r="D8" i="1"/>
  <c r="C15" i="2"/>
  <c r="C17" i="2"/>
  <c r="C35" i="1" l="1"/>
  <c r="F16" i="2"/>
  <c r="C16" i="2" s="1"/>
</calcChain>
</file>

<file path=xl/sharedStrings.xml><?xml version="1.0" encoding="utf-8"?>
<sst xmlns="http://schemas.openxmlformats.org/spreadsheetml/2006/main" count="1006" uniqueCount="90">
  <si>
    <t>Nr.</t>
  </si>
  <si>
    <t>din care:</t>
  </si>
  <si>
    <t/>
  </si>
  <si>
    <t>Grupa de mărfuri</t>
  </si>
  <si>
    <t>Total</t>
  </si>
  <si>
    <t>Incărcări</t>
  </si>
  <si>
    <t>Descărcări</t>
  </si>
  <si>
    <t>crt.</t>
  </si>
  <si>
    <t>Export</t>
  </si>
  <si>
    <t>Tranzit</t>
  </si>
  <si>
    <t>Cabotaj</t>
  </si>
  <si>
    <t>Import</t>
  </si>
  <si>
    <t>Total (1+2+...+25)</t>
  </si>
  <si>
    <t>1.</t>
  </si>
  <si>
    <t>Cereale</t>
  </si>
  <si>
    <t>2.</t>
  </si>
  <si>
    <t>Fructe şi legume proaspete</t>
  </si>
  <si>
    <t>3.</t>
  </si>
  <si>
    <t>Animale vii, sfeclă de zahăr</t>
  </si>
  <si>
    <t>4.</t>
  </si>
  <si>
    <t>Produse alimentare, băuturi, tutun şi nutreţuri animale</t>
  </si>
  <si>
    <t>5.</t>
  </si>
  <si>
    <t>Seminţe (nuci) oleaginoase, uleiuri şi grăsimi</t>
  </si>
  <si>
    <t>6.</t>
  </si>
  <si>
    <t>Lemn, lemn de foc</t>
  </si>
  <si>
    <t>7.</t>
  </si>
  <si>
    <t>Îngrăşăminte (naturale şi chimice)</t>
  </si>
  <si>
    <t>8.</t>
  </si>
  <si>
    <t>Produse minerale brute (de carieră şi balastieră, ipsos, sulfuri, zgură, cretă, sare etc.)</t>
  </si>
  <si>
    <t>9.</t>
  </si>
  <si>
    <t>Minereuri de fier, fier vechi</t>
  </si>
  <si>
    <t>10.</t>
  </si>
  <si>
    <t>Minereuri neferoase</t>
  </si>
  <si>
    <t>11.</t>
  </si>
  <si>
    <t>Textile, produse sintetice şi artificiale; alte materii brute de origine animală sau vegetală (piei, blănuri, cauciuc)</t>
  </si>
  <si>
    <t>12.</t>
  </si>
  <si>
    <t>Pastă şi deşeuri de hârtie</t>
  </si>
  <si>
    <t>13.</t>
  </si>
  <si>
    <t>Combustibili solizi (cărbuni, cocs etc.)</t>
  </si>
  <si>
    <t>14.</t>
  </si>
  <si>
    <t>Petrol brut</t>
  </si>
  <si>
    <t>15.</t>
  </si>
  <si>
    <t>Produse petroliere şi gaz</t>
  </si>
  <si>
    <t>16.</t>
  </si>
  <si>
    <t>Gudroane derivate din cărbuni şi gaze naturale</t>
  </si>
  <si>
    <t>17.</t>
  </si>
  <si>
    <t>Produse chimice</t>
  </si>
  <si>
    <t>18.</t>
  </si>
  <si>
    <t>Var, ciment, materiale de construcţii fabricate</t>
  </si>
  <si>
    <t>19.</t>
  </si>
  <si>
    <t>Sticlă, sticlărie, produse ceramice</t>
  </si>
  <si>
    <t>20.</t>
  </si>
  <si>
    <t>Metale (feroase şi neferoase)</t>
  </si>
  <si>
    <t>21.</t>
  </si>
  <si>
    <t>Articole fabricate din metal</t>
  </si>
  <si>
    <t>22.</t>
  </si>
  <si>
    <t>Maşini, material de transport</t>
  </si>
  <si>
    <t>23.</t>
  </si>
  <si>
    <t>Diverse articole (ţesături, confecţii, încălţăminte, mobilă)</t>
  </si>
  <si>
    <t>24.</t>
  </si>
  <si>
    <t>Alte produse</t>
  </si>
  <si>
    <t>25.</t>
  </si>
  <si>
    <t>Containere</t>
  </si>
  <si>
    <t>Total Nave Operate:</t>
  </si>
  <si>
    <t>româneşti:</t>
  </si>
  <si>
    <t>străine:</t>
  </si>
  <si>
    <t>CN APDF SA GIURGIU</t>
  </si>
  <si>
    <t>SITUATIE  TRAFIC  SEMESTRUL  I   2024</t>
  </si>
  <si>
    <t>PORT  MOLDOVA  VECHE</t>
  </si>
  <si>
    <t>PORT ORSOVA</t>
  </si>
  <si>
    <t>PORT  DR. TR. SEVERIN</t>
  </si>
  <si>
    <t>PORT  CALAFAT</t>
  </si>
  <si>
    <t>PORT  RAST</t>
  </si>
  <si>
    <t>PORT BECHET</t>
  </si>
  <si>
    <t>PORT CORABIA</t>
  </si>
  <si>
    <t>PORT  OLTENITA</t>
  </si>
  <si>
    <t>PORT  CHICIU</t>
  </si>
  <si>
    <t>PORT CALARASI INDUSTRIAL</t>
  </si>
  <si>
    <t>PORT CALARASI COMERCIAL</t>
  </si>
  <si>
    <t>PORT  CERNAVODA</t>
  </si>
  <si>
    <t>PORT  GIURGIU</t>
  </si>
  <si>
    <t>SITUATIE  TRAFIC   MARFA  AN  2024</t>
  </si>
  <si>
    <t>SITUATIE  TRAFIC  MARFA AN  2024</t>
  </si>
  <si>
    <t>SITUATIE  TRAFIC  MARFA AN   2024</t>
  </si>
  <si>
    <t>SITUATIE  TRAFIC  MARFA  AN   2024</t>
  </si>
  <si>
    <t xml:space="preserve"> </t>
  </si>
  <si>
    <t>SITUATIE  TRAFIC  MARFA AN 2024</t>
  </si>
  <si>
    <t>SITUATIE  TRAFIC  MARFA  AN  2024</t>
  </si>
  <si>
    <t>SITUATIE  TRAFIC  MARFA TOTAL   2024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</si>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</sst>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69">
    <xf numFmtId="0" fontId="0" fillId="0" borderId="0" xfId="0"/>
    <xf numFmtId="0" fontId="3" fillId="2" borderId="1" xfId="1" applyFont="1" applyFill="1" applyBorder="1" applyAlignment="1">
      <alignment horizontal="center"/>
      <protection locked="0"/>
    </xf>
    <xf numFmtId="0" fontId="3" fillId="2" borderId="1" xfId="1" applyFont="1" applyFill="1" applyBorder="1" applyAlignment="1">
      <alignment horizontal="left" vertical="center"/>
      <protection locked="0"/>
    </xf>
    <xf numFmtId="0" fontId="3" fillId="2" borderId="2" xfId="1" applyFont="1" applyFill="1" applyBorder="1" applyAlignment="1">
      <alignment horizontal="centerContinuous" vertical="center"/>
      <protection locked="0"/>
    </xf>
    <xf numFmtId="0" fontId="3" fillId="2" borderId="3" xfId="1" applyFont="1" applyFill="1" applyBorder="1" applyAlignment="1">
      <alignment horizontal="centerContinuous" vertical="center"/>
      <protection locked="0"/>
    </xf>
    <xf numFmtId="0" fontId="2" fillId="2" borderId="3" xfId="1" applyFont="1" applyFill="1" applyBorder="1" applyAlignment="1">
      <alignment horizontal="centerContinuous" vertical="center"/>
      <protection locked="0"/>
    </xf>
    <xf numFmtId="0" fontId="2" fillId="2" borderId="4" xfId="1" applyFont="1" applyFill="1" applyBorder="1" applyAlignment="1">
      <alignment horizontal="centerContinuous" vertical="center"/>
      <protection locked="0"/>
    </xf>
    <xf numFmtId="0" fontId="3" fillId="2" borderId="5" xfId="1" quotePrefix="1" applyFont="1" applyFill="1" applyBorder="1" applyAlignment="1">
      <alignment horizontal="center"/>
      <protection locked="0"/>
    </xf>
    <xf numFmtId="0" fontId="3" fillId="2" borderId="5" xfId="1" quotePrefix="1" applyFont="1" applyFill="1" applyBorder="1" applyAlignment="1">
      <alignment horizontal="center" vertical="center" wrapText="1"/>
      <protection locked="0"/>
    </xf>
    <xf numFmtId="0" fontId="3" fillId="2" borderId="5" xfId="1" applyFont="1" applyFill="1" applyBorder="1" applyAlignment="1">
      <alignment horizontal="center"/>
      <protection locked="0"/>
    </xf>
    <xf numFmtId="0" fontId="3" fillId="2" borderId="1" xfId="1" quotePrefix="1" applyFont="1" applyFill="1" applyBorder="1" applyAlignment="1">
      <alignment horizontal="centerContinuous" vertical="center"/>
      <protection locked="0"/>
    </xf>
    <xf numFmtId="0" fontId="2" fillId="2" borderId="1" xfId="1" applyFont="1" applyFill="1" applyBorder="1" applyAlignment="1">
      <alignment horizontal="centerContinuous" vertical="center"/>
      <protection locked="0"/>
    </xf>
    <xf numFmtId="0" fontId="3" fillId="2" borderId="1" xfId="1" applyFont="1" applyFill="1" applyBorder="1" applyAlignment="1">
      <alignment horizontal="centerContinuous" vertical="center"/>
      <protection locked="0"/>
    </xf>
    <xf numFmtId="0" fontId="3" fillId="2" borderId="6" xfId="1" applyFont="1" applyFill="1" applyBorder="1" applyAlignment="1">
      <alignment horizontal="center"/>
      <protection locked="0"/>
    </xf>
    <xf numFmtId="0" fontId="2" fillId="2" borderId="6" xfId="1" applyFont="1" applyFill="1" applyBorder="1">
      <protection locked="0"/>
    </xf>
    <xf numFmtId="0" fontId="3" fillId="2" borderId="6" xfId="1" quotePrefix="1" applyFont="1" applyFill="1" applyBorder="1" applyAlignment="1">
      <alignment horizontal="center" vertical="center" wrapText="1"/>
      <protection locked="0"/>
    </xf>
    <xf numFmtId="0" fontId="3" fillId="2" borderId="6" xfId="1" applyFont="1" applyFill="1" applyBorder="1">
      <protection locked="0"/>
    </xf>
    <xf numFmtId="0" fontId="2" fillId="2" borderId="6" xfId="1" applyFont="1" applyFill="1" applyBorder="1" applyAlignment="1">
      <alignment vertical="center" wrapText="1"/>
      <protection locked="0"/>
    </xf>
    <xf numFmtId="0" fontId="2" fillId="2" borderId="6" xfId="1" quotePrefix="1" applyFont="1" applyFill="1" applyBorder="1" applyAlignment="1">
      <alignment vertical="center" wrapText="1"/>
      <protection locked="0"/>
    </xf>
    <xf numFmtId="0" fontId="2" fillId="2" borderId="6" xfId="1" quotePrefix="1" applyFont="1" applyFill="1" applyBorder="1" applyAlignment="1">
      <alignment horizontal="left" vertical="center" wrapText="1"/>
      <protection locked="0"/>
    </xf>
    <xf numFmtId="0" fontId="3" fillId="0" borderId="6" xfId="1" applyFont="1" applyBorder="1" applyAlignment="1">
      <alignment horizontal="center"/>
      <protection locked="0"/>
    </xf>
    <xf numFmtId="0" fontId="2" fillId="0" borderId="6" xfId="1" applyFont="1" applyBorder="1" applyAlignment="1">
      <alignment vertical="center" wrapText="1"/>
      <protection locked="0"/>
    </xf>
    <xf numFmtId="0" fontId="3" fillId="0" borderId="6" xfId="1" applyFont="1" applyBorder="1">
      <protection locked="0"/>
    </xf>
    <xf numFmtId="0" fontId="2" fillId="0" borderId="6" xfId="1" quotePrefix="1" applyFont="1" applyBorder="1" applyAlignment="1">
      <alignment horizontal="left" vertical="center" wrapText="1"/>
      <protection locked="0"/>
    </xf>
    <xf numFmtId="0" fontId="4" fillId="2" borderId="6" xfId="0" applyFont="1" applyFill="1" applyBorder="1"/>
    <xf numFmtId="0" fontId="5" fillId="0" borderId="6" xfId="0" applyFont="1" applyBorder="1"/>
    <xf numFmtId="0" fontId="0" fillId="0" borderId="6" xfId="0" applyBorder="1"/>
    <xf numFmtId="164" fontId="6" fillId="0" borderId="0" xfId="0" applyNumberFormat="1" applyFont="1" applyProtection="1">
      <protection locked="0"/>
    </xf>
    <xf numFmtId="0" fontId="8" fillId="0" borderId="0" xfId="0" applyFont="1"/>
    <xf numFmtId="0" fontId="3" fillId="2" borderId="0" xfId="1" applyFont="1" applyFill="1" applyAlignment="1">
      <alignment horizontal="right"/>
      <protection locked="0"/>
    </xf>
    <xf numFmtId="0" fontId="3" fillId="2" borderId="0" xfId="1" applyFont="1" applyFill="1">
      <protection locked="0"/>
    </xf>
    <xf numFmtId="0" fontId="3" fillId="2" borderId="0" xfId="1" quotePrefix="1" applyFont="1" applyFill="1" applyAlignment="1">
      <alignment horizontal="right" vertical="center" wrapText="1"/>
      <protection locked="0"/>
    </xf>
    <xf numFmtId="0" fontId="10" fillId="0" borderId="6" xfId="0" applyFont="1" applyBorder="1"/>
    <xf numFmtId="0" fontId="11" fillId="0" borderId="0" xfId="0" applyFont="1"/>
    <xf numFmtId="0" fontId="10" fillId="0" borderId="0" xfId="0" applyFont="1"/>
    <xf numFmtId="0" fontId="12" fillId="2" borderId="1" xfId="1" applyFont="1" applyFill="1" applyBorder="1" applyAlignment="1">
      <alignment horizontal="center"/>
      <protection locked="0"/>
    </xf>
    <xf numFmtId="0" fontId="12" fillId="2" borderId="1" xfId="1" applyFont="1" applyFill="1" applyBorder="1" applyAlignment="1">
      <alignment horizontal="left" vertical="center"/>
      <protection locked="0"/>
    </xf>
    <xf numFmtId="0" fontId="12" fillId="2" borderId="2" xfId="1" applyFont="1" applyFill="1" applyBorder="1" applyAlignment="1">
      <alignment horizontal="centerContinuous" vertical="center"/>
      <protection locked="0"/>
    </xf>
    <xf numFmtId="0" fontId="12" fillId="2" borderId="3" xfId="1" applyFont="1" applyFill="1" applyBorder="1" applyAlignment="1">
      <alignment horizontal="centerContinuous" vertical="center"/>
      <protection locked="0"/>
    </xf>
    <xf numFmtId="0" fontId="13" fillId="2" borderId="3" xfId="1" applyFont="1" applyFill="1" applyBorder="1" applyAlignment="1">
      <alignment horizontal="centerContinuous" vertical="center"/>
      <protection locked="0"/>
    </xf>
    <xf numFmtId="0" fontId="13" fillId="2" borderId="4" xfId="1" applyFont="1" applyFill="1" applyBorder="1" applyAlignment="1">
      <alignment horizontal="centerContinuous" vertical="center"/>
      <protection locked="0"/>
    </xf>
    <xf numFmtId="0" fontId="12" fillId="2" borderId="5" xfId="1" quotePrefix="1" applyFont="1" applyFill="1" applyBorder="1" applyAlignment="1">
      <alignment horizontal="center"/>
      <protection locked="0"/>
    </xf>
    <xf numFmtId="0" fontId="12" fillId="2" borderId="5" xfId="1" quotePrefix="1" applyFont="1" applyFill="1" applyBorder="1" applyAlignment="1">
      <alignment horizontal="center" vertical="center" wrapText="1"/>
      <protection locked="0"/>
    </xf>
    <xf numFmtId="0" fontId="12" fillId="2" borderId="5" xfId="1" applyFont="1" applyFill="1" applyBorder="1" applyAlignment="1">
      <alignment horizontal="center"/>
      <protection locked="0"/>
    </xf>
    <xf numFmtId="0" fontId="12" fillId="2" borderId="1" xfId="1" quotePrefix="1" applyFont="1" applyFill="1" applyBorder="1" applyAlignment="1">
      <alignment horizontal="centerContinuous" vertical="center"/>
      <protection locked="0"/>
    </xf>
    <xf numFmtId="0" fontId="13" fillId="2" borderId="1" xfId="1" applyFont="1" applyFill="1" applyBorder="1" applyAlignment="1">
      <alignment horizontal="centerContinuous" vertical="center"/>
      <protection locked="0"/>
    </xf>
    <xf numFmtId="0" fontId="12" fillId="2" borderId="1" xfId="1" applyFont="1" applyFill="1" applyBorder="1" applyAlignment="1">
      <alignment horizontal="centerContinuous" vertical="center"/>
      <protection locked="0"/>
    </xf>
    <xf numFmtId="0" fontId="12" fillId="2" borderId="6" xfId="1" applyFont="1" applyFill="1" applyBorder="1" applyAlignment="1">
      <alignment horizontal="center"/>
      <protection locked="0"/>
    </xf>
    <xf numFmtId="0" fontId="13" fillId="2" borderId="6" xfId="1" applyFont="1" applyFill="1" applyBorder="1">
      <protection locked="0"/>
    </xf>
    <xf numFmtId="0" fontId="12" fillId="2" borderId="6" xfId="1" quotePrefix="1" applyFont="1" applyFill="1" applyBorder="1" applyAlignment="1">
      <alignment horizontal="center" vertical="center" wrapText="1"/>
      <protection locked="0"/>
    </xf>
    <xf numFmtId="0" fontId="12" fillId="2" borderId="6" xfId="1" applyFont="1" applyFill="1" applyBorder="1">
      <protection locked="0"/>
    </xf>
    <xf numFmtId="0" fontId="13" fillId="2" borderId="6" xfId="1" applyFont="1" applyFill="1" applyBorder="1" applyAlignment="1">
      <alignment vertical="center" wrapText="1"/>
      <protection locked="0"/>
    </xf>
    <xf numFmtId="0" fontId="12" fillId="0" borderId="6" xfId="1" applyFont="1" applyBorder="1">
      <protection locked="0"/>
    </xf>
    <xf numFmtId="0" fontId="9" fillId="2" borderId="6" xfId="0" applyFont="1" applyFill="1" applyBorder="1"/>
    <xf numFmtId="0" fontId="13" fillId="2" borderId="6" xfId="1" quotePrefix="1" applyFont="1" applyFill="1" applyBorder="1" applyAlignment="1">
      <alignment vertical="center" wrapText="1"/>
      <protection locked="0"/>
    </xf>
    <xf numFmtId="0" fontId="13" fillId="2" borderId="6" xfId="1" quotePrefix="1" applyFont="1" applyFill="1" applyBorder="1" applyAlignment="1">
      <alignment horizontal="left" vertical="center" wrapText="1"/>
      <protection locked="0"/>
    </xf>
    <xf numFmtId="0" fontId="11" fillId="0" borderId="6" xfId="0" applyFont="1" applyBorder="1"/>
    <xf numFmtId="0" fontId="12" fillId="0" borderId="6" xfId="1" applyFont="1" applyBorder="1" applyAlignment="1">
      <alignment horizontal="center"/>
      <protection locked="0"/>
    </xf>
    <xf numFmtId="0" fontId="13" fillId="0" borderId="6" xfId="1" applyFont="1" applyBorder="1" applyAlignment="1">
      <alignment vertical="center" wrapText="1"/>
      <protection locked="0"/>
    </xf>
    <xf numFmtId="0" fontId="13" fillId="0" borderId="6" xfId="1" quotePrefix="1" applyFont="1" applyBorder="1" applyAlignment="1">
      <alignment horizontal="left" vertical="center" wrapText="1"/>
      <protection locked="0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5" fillId="0" borderId="0" xfId="0" applyFont="1"/>
    <xf numFmtId="164" fontId="10" fillId="0" borderId="0" xfId="0" applyNumberFormat="1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  <protection locked="0"/>
    </xf>
    <xf numFmtId="0" fontId="3" fillId="2" borderId="5" xfId="1" applyFont="1" applyFill="1" applyBorder="1" applyAlignment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  <protection locked="0"/>
    </xf>
  </cellXfs>
  <cellStyles count="2">
    <cellStyle name="Normal" xfId="0" builtinId="0"/>
    <cellStyle name="Normal 2" xfId="1" xr:uid="{B16CE4FB-FF12-429E-9493-782305D6D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BD99-08BD-46A9-8A50-172CE234DB72}">
  <dimension ref="A1:I37"/>
  <sheetViews>
    <sheetView zoomScale="130" zoomScaleNormal="130" workbookViewId="0">
      <selection activeCell="C9" sqref="C9"/>
    </sheetView>
  </sheetViews>
  <sheetFormatPr defaultRowHeight="15" x14ac:dyDescent="0.25"/>
  <cols>
    <col min="1" max="1" width="5.42578125" customWidth="1"/>
    <col min="2" max="2" width="42.5703125" customWidth="1"/>
    <col min="3" max="3" width="11.140625" customWidth="1"/>
    <col min="9" max="9" width="9" customWidth="1"/>
  </cols>
  <sheetData>
    <row r="1" spans="1:9" ht="15.75" x14ac:dyDescent="0.25">
      <c r="A1" s="27" t="s">
        <v>66</v>
      </c>
    </row>
    <row r="3" spans="1:9" x14ac:dyDescent="0.25">
      <c r="A3" s="33"/>
      <c r="B3" s="33"/>
      <c r="C3" s="64" t="s">
        <v>81</v>
      </c>
      <c r="D3" s="64"/>
      <c r="E3" s="64"/>
      <c r="F3" s="64"/>
      <c r="G3" s="64"/>
      <c r="H3" s="33"/>
      <c r="I3" s="33"/>
    </row>
    <row r="4" spans="1:9" x14ac:dyDescent="0.25">
      <c r="A4" s="33"/>
      <c r="B4" s="61"/>
      <c r="C4" s="62"/>
      <c r="D4" s="60" t="s">
        <v>68</v>
      </c>
      <c r="E4" s="34"/>
      <c r="F4" s="34"/>
      <c r="G4" s="34"/>
      <c r="H4" s="33"/>
      <c r="I4" s="33"/>
    </row>
    <row r="5" spans="1:9" x14ac:dyDescent="0.25">
      <c r="A5" s="35" t="s">
        <v>0</v>
      </c>
      <c r="B5" s="36"/>
      <c r="C5" s="36"/>
      <c r="D5" s="37" t="s">
        <v>1</v>
      </c>
      <c r="E5" s="38"/>
      <c r="F5" s="39"/>
      <c r="G5" s="38"/>
      <c r="H5" s="38"/>
      <c r="I5" s="40"/>
    </row>
    <row r="6" spans="1:9" x14ac:dyDescent="0.25">
      <c r="A6" s="41" t="s">
        <v>2</v>
      </c>
      <c r="B6" s="42" t="s">
        <v>3</v>
      </c>
      <c r="C6" s="43" t="s">
        <v>4</v>
      </c>
      <c r="D6" s="44" t="s">
        <v>5</v>
      </c>
      <c r="E6" s="45"/>
      <c r="F6" s="45"/>
      <c r="G6" s="46" t="s">
        <v>6</v>
      </c>
      <c r="H6" s="45"/>
      <c r="I6" s="45"/>
    </row>
    <row r="7" spans="1:9" x14ac:dyDescent="0.25">
      <c r="A7" s="47" t="s">
        <v>7</v>
      </c>
      <c r="B7" s="48"/>
      <c r="C7" s="48"/>
      <c r="D7" s="47" t="s">
        <v>8</v>
      </c>
      <c r="E7" s="47" t="s">
        <v>9</v>
      </c>
      <c r="F7" s="47" t="s">
        <v>10</v>
      </c>
      <c r="G7" s="47" t="s">
        <v>11</v>
      </c>
      <c r="H7" s="47" t="s">
        <v>9</v>
      </c>
      <c r="I7" s="47" t="s">
        <v>10</v>
      </c>
    </row>
    <row r="8" spans="1:9" x14ac:dyDescent="0.25">
      <c r="A8" s="47">
        <v>0</v>
      </c>
      <c r="B8" s="49" t="s">
        <v>12</v>
      </c>
      <c r="C8" s="50">
        <f>D8+E8+F8+G8+H8+I8</f>
        <v>167213</v>
      </c>
      <c r="D8" s="32">
        <f>2713+788+8029</f>
        <v>11530</v>
      </c>
      <c r="E8" s="50"/>
      <c r="F8" s="50">
        <f>9311+6724+4033+3434+17336+7857+43249</f>
        <v>91944</v>
      </c>
      <c r="G8" s="50">
        <f>9270+9270+3708+1816+11125+28550</f>
        <v>63739</v>
      </c>
      <c r="H8" s="50"/>
      <c r="I8" s="50"/>
    </row>
    <row r="9" spans="1:9" x14ac:dyDescent="0.25">
      <c r="A9" s="47" t="s">
        <v>13</v>
      </c>
      <c r="B9" s="51" t="s">
        <v>14</v>
      </c>
      <c r="C9" s="50">
        <f>D9+E9+F9+G9+H9+I9</f>
        <v>80664</v>
      </c>
      <c r="D9" s="32">
        <f>2713+2475</f>
        <v>5188</v>
      </c>
      <c r="E9" s="52"/>
      <c r="F9" s="52">
        <f>6724+4033+3434+17336+7857+36092</f>
        <v>75476</v>
      </c>
      <c r="G9" s="50"/>
      <c r="H9" s="53"/>
      <c r="I9" s="50"/>
    </row>
    <row r="10" spans="1:9" ht="9.75" customHeight="1" x14ac:dyDescent="0.25">
      <c r="A10" s="47" t="s">
        <v>15</v>
      </c>
      <c r="B10" s="54" t="s">
        <v>16</v>
      </c>
      <c r="C10" s="50"/>
      <c r="D10" s="32"/>
      <c r="E10" s="52"/>
      <c r="F10" s="52"/>
      <c r="G10" s="50"/>
      <c r="H10" s="53"/>
      <c r="I10" s="50"/>
    </row>
    <row r="11" spans="1:9" ht="11.25" customHeight="1" x14ac:dyDescent="0.25">
      <c r="A11" s="47" t="s">
        <v>17</v>
      </c>
      <c r="B11" s="51" t="s">
        <v>18</v>
      </c>
      <c r="C11" s="50"/>
      <c r="D11" s="32"/>
      <c r="E11" s="52"/>
      <c r="F11" s="52"/>
      <c r="G11" s="50"/>
      <c r="H11" s="53"/>
      <c r="I11" s="50"/>
    </row>
    <row r="12" spans="1:9" ht="15.75" customHeight="1" x14ac:dyDescent="0.25">
      <c r="A12" s="47" t="s">
        <v>19</v>
      </c>
      <c r="B12" s="55" t="s">
        <v>20</v>
      </c>
      <c r="C12" s="50"/>
      <c r="D12" s="32"/>
      <c r="E12" s="52"/>
      <c r="F12" s="52"/>
      <c r="G12" s="50"/>
      <c r="H12" s="53"/>
      <c r="I12" s="50"/>
    </row>
    <row r="13" spans="1:9" ht="16.5" customHeight="1" x14ac:dyDescent="0.25">
      <c r="A13" s="47" t="s">
        <v>21</v>
      </c>
      <c r="B13" s="51" t="s">
        <v>22</v>
      </c>
      <c r="C13" s="50">
        <f>D13+E13+F13+G13+H13+I13</f>
        <v>13499</v>
      </c>
      <c r="D13" s="32">
        <f>788+5554</f>
        <v>6342</v>
      </c>
      <c r="E13" s="52"/>
      <c r="F13" s="52">
        <f>7157</f>
        <v>7157</v>
      </c>
      <c r="G13" s="50"/>
      <c r="H13" s="50"/>
      <c r="I13" s="50"/>
    </row>
    <row r="14" spans="1:9" ht="11.25" customHeight="1" x14ac:dyDescent="0.25">
      <c r="A14" s="47" t="s">
        <v>23</v>
      </c>
      <c r="B14" s="51" t="s">
        <v>24</v>
      </c>
      <c r="C14" s="50"/>
      <c r="D14" s="56"/>
      <c r="E14" s="52"/>
      <c r="F14" s="52"/>
      <c r="G14" s="50"/>
      <c r="H14" s="50"/>
      <c r="I14" s="50"/>
    </row>
    <row r="15" spans="1:9" x14ac:dyDescent="0.25">
      <c r="A15" s="47" t="s">
        <v>25</v>
      </c>
      <c r="B15" s="55" t="s">
        <v>26</v>
      </c>
      <c r="C15" s="50">
        <f>D15+E15+F15+G15+H15+I15</f>
        <v>0</v>
      </c>
      <c r="D15" s="56"/>
      <c r="E15" s="52"/>
      <c r="F15" s="52"/>
      <c r="G15" s="50"/>
      <c r="H15" s="50"/>
      <c r="I15" s="50"/>
    </row>
    <row r="16" spans="1:9" ht="24" customHeight="1" x14ac:dyDescent="0.25">
      <c r="A16" s="57" t="s">
        <v>27</v>
      </c>
      <c r="B16" s="58" t="s">
        <v>28</v>
      </c>
      <c r="C16" s="52">
        <f>D16+E16+F16+G16+H16+I16</f>
        <v>72897</v>
      </c>
      <c r="D16" s="56"/>
      <c r="E16" s="52"/>
      <c r="F16" s="52">
        <f>9311</f>
        <v>9311</v>
      </c>
      <c r="G16" s="52">
        <f>9270+9270+3708+1816+11125+28397</f>
        <v>63586</v>
      </c>
      <c r="H16" s="52"/>
      <c r="I16" s="52"/>
    </row>
    <row r="17" spans="1:9" ht="12.75" customHeight="1" x14ac:dyDescent="0.25">
      <c r="A17" s="57" t="s">
        <v>29</v>
      </c>
      <c r="B17" s="58" t="s">
        <v>30</v>
      </c>
      <c r="C17" s="52">
        <f>D17+E17+F17+G17+H17+I17</f>
        <v>0</v>
      </c>
      <c r="D17" s="52"/>
      <c r="E17" s="52"/>
      <c r="F17" s="52"/>
      <c r="G17" s="52"/>
      <c r="H17" s="52"/>
      <c r="I17" s="52"/>
    </row>
    <row r="18" spans="1:9" ht="12" customHeight="1" x14ac:dyDescent="0.25">
      <c r="A18" s="57" t="s">
        <v>31</v>
      </c>
      <c r="B18" s="58" t="s">
        <v>32</v>
      </c>
      <c r="C18" s="52"/>
      <c r="D18" s="52"/>
      <c r="E18" s="52"/>
      <c r="F18" s="52"/>
      <c r="G18" s="52"/>
      <c r="H18" s="52"/>
      <c r="I18" s="52"/>
    </row>
    <row r="19" spans="1:9" ht="21.75" customHeight="1" x14ac:dyDescent="0.25">
      <c r="A19" s="57" t="s">
        <v>33</v>
      </c>
      <c r="B19" s="59" t="s">
        <v>34</v>
      </c>
      <c r="C19" s="52"/>
      <c r="D19" s="52"/>
      <c r="E19" s="52"/>
      <c r="F19" s="52"/>
      <c r="G19" s="52"/>
      <c r="H19" s="52"/>
      <c r="I19" s="52"/>
    </row>
    <row r="20" spans="1:9" ht="12.75" customHeight="1" x14ac:dyDescent="0.25">
      <c r="A20" s="57" t="s">
        <v>35</v>
      </c>
      <c r="B20" s="58" t="s">
        <v>36</v>
      </c>
      <c r="C20" s="52"/>
      <c r="D20" s="52"/>
      <c r="E20" s="52"/>
      <c r="F20" s="52"/>
      <c r="G20" s="52"/>
      <c r="H20" s="52"/>
      <c r="I20" s="52"/>
    </row>
    <row r="21" spans="1:9" ht="11.25" customHeight="1" x14ac:dyDescent="0.25">
      <c r="A21" s="57" t="s">
        <v>37</v>
      </c>
      <c r="B21" s="58" t="s">
        <v>38</v>
      </c>
      <c r="C21" s="52"/>
      <c r="D21" s="52"/>
      <c r="E21" s="52"/>
      <c r="F21" s="52"/>
      <c r="G21" s="52"/>
      <c r="H21" s="52"/>
      <c r="I21" s="52"/>
    </row>
    <row r="22" spans="1:9" ht="9.75" customHeight="1" x14ac:dyDescent="0.25">
      <c r="A22" s="57" t="s">
        <v>39</v>
      </c>
      <c r="B22" s="58" t="s">
        <v>40</v>
      </c>
      <c r="C22" s="52"/>
      <c r="D22" s="52"/>
      <c r="E22" s="52"/>
      <c r="F22" s="52"/>
      <c r="G22" s="52"/>
      <c r="H22" s="52"/>
      <c r="I22" s="52"/>
    </row>
    <row r="23" spans="1:9" ht="12" customHeight="1" x14ac:dyDescent="0.25">
      <c r="A23" s="57" t="s">
        <v>41</v>
      </c>
      <c r="B23" s="58" t="s">
        <v>42</v>
      </c>
      <c r="C23" s="52"/>
      <c r="D23" s="52"/>
      <c r="E23" s="52"/>
      <c r="F23" s="52"/>
      <c r="G23" s="52"/>
      <c r="H23" s="52"/>
      <c r="I23" s="52"/>
    </row>
    <row r="24" spans="1:9" ht="10.5" customHeight="1" x14ac:dyDescent="0.25">
      <c r="A24" s="57" t="s">
        <v>43</v>
      </c>
      <c r="B24" s="58" t="s">
        <v>44</v>
      </c>
      <c r="C24" s="52"/>
      <c r="D24" s="52"/>
      <c r="E24" s="52"/>
      <c r="F24" s="52"/>
      <c r="G24" s="52"/>
      <c r="H24" s="52"/>
      <c r="I24" s="52"/>
    </row>
    <row r="25" spans="1:9" ht="9.75" customHeight="1" x14ac:dyDescent="0.25">
      <c r="A25" s="57" t="s">
        <v>45</v>
      </c>
      <c r="B25" s="58" t="s">
        <v>46</v>
      </c>
      <c r="C25" s="52"/>
      <c r="D25" s="52"/>
      <c r="E25" s="52"/>
      <c r="F25" s="52"/>
      <c r="G25" s="52"/>
      <c r="H25" s="52"/>
      <c r="I25" s="52"/>
    </row>
    <row r="26" spans="1:9" ht="11.25" customHeight="1" x14ac:dyDescent="0.25">
      <c r="A26" s="57" t="s">
        <v>47</v>
      </c>
      <c r="B26" s="58" t="s">
        <v>48</v>
      </c>
      <c r="C26" s="52"/>
      <c r="D26" s="52"/>
      <c r="E26" s="52"/>
      <c r="F26" s="52"/>
      <c r="G26" s="52"/>
      <c r="H26" s="52"/>
      <c r="I26" s="52"/>
    </row>
    <row r="27" spans="1:9" ht="12" customHeight="1" x14ac:dyDescent="0.25">
      <c r="A27" s="57" t="s">
        <v>49</v>
      </c>
      <c r="B27" s="58" t="s">
        <v>50</v>
      </c>
      <c r="C27" s="52"/>
      <c r="D27" s="52"/>
      <c r="E27" s="52"/>
      <c r="F27" s="52"/>
      <c r="G27" s="52"/>
      <c r="H27" s="52"/>
      <c r="I27" s="52"/>
    </row>
    <row r="28" spans="1:9" ht="12" customHeight="1" x14ac:dyDescent="0.25">
      <c r="A28" s="47" t="s">
        <v>51</v>
      </c>
      <c r="B28" s="51" t="s">
        <v>52</v>
      </c>
      <c r="C28" s="50"/>
      <c r="D28" s="50"/>
      <c r="E28" s="50"/>
      <c r="F28" s="50"/>
      <c r="G28" s="50"/>
      <c r="H28" s="50"/>
      <c r="I28" s="50"/>
    </row>
    <row r="29" spans="1:9" ht="11.25" customHeight="1" x14ac:dyDescent="0.25">
      <c r="A29" s="47" t="s">
        <v>53</v>
      </c>
      <c r="B29" s="51" t="s">
        <v>54</v>
      </c>
      <c r="C29" s="50">
        <f>153</f>
        <v>153</v>
      </c>
      <c r="D29" s="50"/>
      <c r="E29" s="50"/>
      <c r="F29" s="50"/>
      <c r="G29" s="50">
        <f>153</f>
        <v>153</v>
      </c>
      <c r="H29" s="50"/>
      <c r="I29" s="50"/>
    </row>
    <row r="30" spans="1:9" ht="10.5" customHeight="1" x14ac:dyDescent="0.25">
      <c r="A30" s="47" t="s">
        <v>55</v>
      </c>
      <c r="B30" s="51" t="s">
        <v>56</v>
      </c>
      <c r="C30" s="50"/>
      <c r="D30" s="50"/>
      <c r="E30" s="50"/>
      <c r="F30" s="50"/>
      <c r="G30" s="50"/>
      <c r="H30" s="50"/>
      <c r="I30" s="50"/>
    </row>
    <row r="31" spans="1:9" ht="11.25" customHeight="1" x14ac:dyDescent="0.25">
      <c r="A31" s="47" t="s">
        <v>57</v>
      </c>
      <c r="B31" s="55" t="s">
        <v>58</v>
      </c>
      <c r="C31" s="50"/>
      <c r="D31" s="50"/>
      <c r="E31" s="50"/>
      <c r="F31" s="50"/>
      <c r="G31" s="50"/>
      <c r="H31" s="50"/>
      <c r="I31" s="50"/>
    </row>
    <row r="32" spans="1:9" ht="12" customHeight="1" x14ac:dyDescent="0.25">
      <c r="A32" s="47" t="s">
        <v>59</v>
      </c>
      <c r="B32" s="51" t="s">
        <v>60</v>
      </c>
      <c r="C32" s="50"/>
      <c r="D32" s="50"/>
      <c r="E32" s="50"/>
      <c r="F32" s="50"/>
      <c r="G32" s="50"/>
      <c r="H32" s="50"/>
      <c r="I32" s="50"/>
    </row>
    <row r="33" spans="1:9" ht="11.25" customHeight="1" x14ac:dyDescent="0.25">
      <c r="A33" s="47" t="s">
        <v>61</v>
      </c>
      <c r="B33" s="51" t="s">
        <v>62</v>
      </c>
      <c r="C33" s="50"/>
      <c r="D33" s="50"/>
      <c r="E33" s="50"/>
      <c r="F33" s="50"/>
      <c r="G33" s="50"/>
      <c r="H33" s="50"/>
      <c r="I33" s="50"/>
    </row>
    <row r="34" spans="1:9" x14ac:dyDescent="0.25">
      <c r="B34" s="29" t="s">
        <v>63</v>
      </c>
      <c r="C34" s="30">
        <f>C36+C37</f>
        <v>160</v>
      </c>
    </row>
    <row r="35" spans="1:9" x14ac:dyDescent="0.25">
      <c r="B35" s="31" t="s">
        <v>1</v>
      </c>
      <c r="C35" s="29"/>
    </row>
    <row r="36" spans="1:9" x14ac:dyDescent="0.25">
      <c r="B36" s="31" t="s">
        <v>64</v>
      </c>
      <c r="C36" s="30">
        <f>2+4+2+13+2+4+23</f>
        <v>50</v>
      </c>
    </row>
    <row r="37" spans="1:9" x14ac:dyDescent="0.25">
      <c r="B37" s="31" t="s">
        <v>65</v>
      </c>
      <c r="C37" s="30">
        <f>11+10+10+6+5+14+54</f>
        <v>110</v>
      </c>
    </row>
  </sheetData>
  <mergeCells count="1">
    <mergeCell ref="C3:G3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DB0D-EC19-469D-9519-04B8A3FD184C}">
  <dimension ref="A1:I38"/>
  <sheetViews>
    <sheetView topLeftCell="A7" zoomScale="130" zoomScaleNormal="130" workbookViewId="0">
      <selection activeCell="A5" sqref="A5:I38"/>
    </sheetView>
  </sheetViews>
  <sheetFormatPr defaultRowHeight="15" x14ac:dyDescent="0.25"/>
  <cols>
    <col min="1" max="1" width="3.85546875" customWidth="1"/>
    <col min="2" max="2" width="40.42578125" customWidth="1"/>
    <col min="3" max="3" width="6.7109375" customWidth="1"/>
    <col min="4" max="4" width="6" customWidth="1"/>
    <col min="5" max="5" width="7.28515625" customWidth="1"/>
    <col min="6" max="6" width="5.7109375" customWidth="1"/>
    <col min="7" max="7" width="6.28515625" customWidth="1"/>
    <col min="8" max="8" width="7" customWidth="1"/>
    <col min="9" max="9" width="6.285156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87</v>
      </c>
      <c r="D3" s="65"/>
      <c r="E3" s="65"/>
      <c r="F3" s="65"/>
      <c r="G3" s="65"/>
    </row>
    <row r="4" spans="1:9" ht="16.5" x14ac:dyDescent="0.3">
      <c r="C4" s="28"/>
      <c r="D4" s="28" t="s">
        <v>76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22507+3670+5494+2372+7065+37984+212516</f>
        <v>291608</v>
      </c>
      <c r="D8" s="25"/>
      <c r="E8" s="16">
        <f>34662+83678</f>
        <v>118340</v>
      </c>
      <c r="F8" s="16"/>
      <c r="G8" s="16"/>
      <c r="H8" s="16">
        <f>H14+H15+H16</f>
        <v>173268</v>
      </c>
      <c r="I8" s="16"/>
    </row>
    <row r="9" spans="1:9" x14ac:dyDescent="0.25">
      <c r="A9" s="13" t="s">
        <v>13</v>
      </c>
      <c r="B9" s="17" t="s">
        <v>14</v>
      </c>
      <c r="C9" s="16">
        <f>34662+83678</f>
        <v>118340</v>
      </c>
      <c r="D9" s="25"/>
      <c r="E9" s="22">
        <f>34662+83678</f>
        <v>118340</v>
      </c>
      <c r="F9" s="22"/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6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449+800+585+870+640+820+6060</f>
        <v>10224</v>
      </c>
      <c r="D14" s="26"/>
      <c r="E14" s="22"/>
      <c r="F14" s="22"/>
      <c r="G14" s="16"/>
      <c r="H14" s="16">
        <f>449+800+585+870+640+820+6060</f>
        <v>10224</v>
      </c>
      <c r="I14" s="16"/>
    </row>
    <row r="15" spans="1:9" x14ac:dyDescent="0.25">
      <c r="A15" s="13" t="s">
        <v>25</v>
      </c>
      <c r="B15" s="19" t="s">
        <v>26</v>
      </c>
      <c r="C15" s="16">
        <f>8334</f>
        <v>8334</v>
      </c>
      <c r="D15" s="26"/>
      <c r="E15" s="22"/>
      <c r="F15" s="22"/>
      <c r="G15" s="16"/>
      <c r="H15" s="16">
        <f>8334</f>
        <v>8334</v>
      </c>
      <c r="I15" s="16"/>
    </row>
    <row r="16" spans="1:9" ht="24" customHeight="1" x14ac:dyDescent="0.25">
      <c r="A16" s="20" t="s">
        <v>27</v>
      </c>
      <c r="B16" s="21" t="s">
        <v>28</v>
      </c>
      <c r="C16" s="22">
        <f>22058+2870+4909+1502+6425+2502+114444</f>
        <v>154710</v>
      </c>
      <c r="D16" s="26"/>
      <c r="E16" s="22"/>
      <c r="F16" s="22"/>
      <c r="G16" s="22"/>
      <c r="H16" s="22">
        <f>22058+2870+4909+1502+6425+2502+114444</f>
        <v>154710</v>
      </c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307</v>
      </c>
    </row>
    <row r="36" spans="1:9" x14ac:dyDescent="0.25">
      <c r="B36" s="31" t="s">
        <v>1</v>
      </c>
      <c r="C36" s="29"/>
    </row>
    <row r="37" spans="1:9" x14ac:dyDescent="0.25">
      <c r="B37" s="31" t="s">
        <v>64</v>
      </c>
      <c r="C37" s="30">
        <f>28+6+3+4+5+27+151</f>
        <v>224</v>
      </c>
    </row>
    <row r="38" spans="1:9" x14ac:dyDescent="0.25">
      <c r="B38" s="31" t="s">
        <v>65</v>
      </c>
      <c r="C38" s="30">
        <f>0+3+1+3+15+61</f>
        <v>83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F9AE-9EF5-4541-8E8F-C35613C0B7F6}">
  <dimension ref="A1:I38"/>
  <sheetViews>
    <sheetView zoomScale="130" zoomScaleNormal="130" workbookViewId="0">
      <selection activeCell="B16" sqref="B16"/>
    </sheetView>
  </sheetViews>
  <sheetFormatPr defaultRowHeight="15" x14ac:dyDescent="0.25"/>
  <cols>
    <col min="1" max="1" width="3.42578125" customWidth="1"/>
    <col min="2" max="2" width="40.42578125" customWidth="1"/>
    <col min="3" max="3" width="6.7109375" customWidth="1"/>
    <col min="4" max="4" width="6.140625" customWidth="1"/>
    <col min="5" max="5" width="5.85546875" customWidth="1"/>
    <col min="6" max="6" width="5.42578125" customWidth="1"/>
    <col min="7" max="7" width="5.7109375" customWidth="1"/>
    <col min="8" max="9" width="7" customWidth="1"/>
  </cols>
  <sheetData>
    <row r="1" spans="1:9" ht="15.75" x14ac:dyDescent="0.25">
      <c r="A1" s="27" t="s">
        <v>66</v>
      </c>
    </row>
    <row r="3" spans="1:9" ht="15.75" customHeight="1" x14ac:dyDescent="0.25">
      <c r="C3" s="65" t="s">
        <v>83</v>
      </c>
      <c r="D3" s="65"/>
      <c r="E3" s="65"/>
      <c r="F3" s="65"/>
      <c r="G3" s="65"/>
      <c r="H3" s="65"/>
    </row>
    <row r="4" spans="1:9" ht="16.5" x14ac:dyDescent="0.3">
      <c r="C4" s="28"/>
      <c r="D4" s="28" t="s">
        <v>78</v>
      </c>
      <c r="E4" s="28"/>
      <c r="F4" s="28"/>
      <c r="G4" s="28"/>
    </row>
    <row r="5" spans="1:9" ht="12" customHeight="1" x14ac:dyDescent="0.25">
      <c r="A5" s="66" t="s">
        <v>89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67"/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ht="15" customHeight="1" x14ac:dyDescent="0.25">
      <c r="A7" s="68"/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106529+42771</f>
        <v>149300</v>
      </c>
      <c r="D8" s="25"/>
      <c r="E8" s="16"/>
      <c r="F8" s="16"/>
      <c r="G8" s="16"/>
      <c r="H8" s="16">
        <f>106529+42771</f>
        <v>149300</v>
      </c>
      <c r="I8" s="16"/>
    </row>
    <row r="9" spans="1:9" x14ac:dyDescent="0.25">
      <c r="A9" s="13" t="s">
        <v>13</v>
      </c>
      <c r="B9" s="17" t="s">
        <v>14</v>
      </c>
      <c r="C9" s="16"/>
      <c r="D9" s="25"/>
      <c r="E9" s="22"/>
      <c r="F9" s="22"/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1230+1410+1850+1400+1290+5162</f>
        <v>12342</v>
      </c>
      <c r="D14" s="26"/>
      <c r="E14" s="22"/>
      <c r="F14" s="22"/>
      <c r="G14" s="16"/>
      <c r="H14" s="16">
        <f>1230+1410+1850+1400+1290+5162</f>
        <v>12342</v>
      </c>
      <c r="I14" s="16"/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>
        <f>9888+20990+16551+28706+23214+37609</f>
        <v>136958</v>
      </c>
      <c r="D16" s="26"/>
      <c r="E16" s="22"/>
      <c r="F16" s="22"/>
      <c r="G16" s="22"/>
      <c r="H16" s="22">
        <f>9888+20990+16551+28706+23214+37609</f>
        <v>136958</v>
      </c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203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10+17+22+11+36+19+56</f>
        <v>171</v>
      </c>
    </row>
    <row r="38" spans="1:9" x14ac:dyDescent="0.25">
      <c r="B38" s="31" t="s">
        <v>65</v>
      </c>
      <c r="C38" s="30">
        <f>2+3+4+5+6+12</f>
        <v>32</v>
      </c>
    </row>
  </sheetData>
  <mergeCells count="2">
    <mergeCell ref="C3:H3"/>
    <mergeCell ref="A5:A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7C42-B7B6-49CF-933F-63D92E395F1F}">
  <dimension ref="A1:I38"/>
  <sheetViews>
    <sheetView zoomScale="130" zoomScaleNormal="130" workbookViewId="0">
      <selection activeCell="A5" sqref="A5:I38"/>
    </sheetView>
  </sheetViews>
  <sheetFormatPr defaultRowHeight="15" x14ac:dyDescent="0.25"/>
  <cols>
    <col min="1" max="1" width="4.28515625" customWidth="1"/>
    <col min="2" max="2" width="40.28515625" customWidth="1"/>
    <col min="3" max="3" width="6.85546875" customWidth="1"/>
    <col min="4" max="4" width="5.140625" customWidth="1"/>
    <col min="5" max="5" width="6" customWidth="1"/>
    <col min="6" max="6" width="5.85546875" customWidth="1"/>
    <col min="7" max="7" width="5.42578125" customWidth="1"/>
    <col min="8" max="8" width="6.5703125" customWidth="1"/>
    <col min="9" max="9" width="6.710937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83</v>
      </c>
      <c r="D3" s="65"/>
      <c r="E3" s="65"/>
      <c r="F3" s="65"/>
      <c r="G3" s="65"/>
    </row>
    <row r="4" spans="1:9" ht="16.5" x14ac:dyDescent="0.3">
      <c r="C4" s="28"/>
      <c r="D4" s="28" t="s">
        <v>77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37698+28706+21715+14908+802+5240+76162</f>
        <v>185231</v>
      </c>
      <c r="D8" s="25"/>
      <c r="E8" s="16"/>
      <c r="F8" s="16"/>
      <c r="G8" s="16"/>
      <c r="H8" s="16">
        <f>37698+28706+21715+14908+802+5240+76162</f>
        <v>185231</v>
      </c>
      <c r="I8" s="16"/>
    </row>
    <row r="9" spans="1:9" x14ac:dyDescent="0.25">
      <c r="A9" s="13" t="s">
        <v>13</v>
      </c>
      <c r="B9" s="17" t="s">
        <v>14</v>
      </c>
      <c r="C9" s="16"/>
      <c r="D9" s="25"/>
      <c r="E9" s="22"/>
      <c r="F9" s="22"/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2400</f>
        <v>2400</v>
      </c>
      <c r="D14" s="26"/>
      <c r="E14" s="22"/>
      <c r="F14" s="22"/>
      <c r="G14" s="16"/>
      <c r="H14" s="16">
        <f>2400</f>
        <v>2400</v>
      </c>
      <c r="I14" s="16"/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>
        <f>37698+28706+21715+14908+802+5240+73762</f>
        <v>182831</v>
      </c>
      <c r="D16" s="26"/>
      <c r="E16" s="22"/>
      <c r="F16" s="22"/>
      <c r="G16" s="22"/>
      <c r="H16" s="22">
        <f>37698+28706+21715+14908+802+5240+73762</f>
        <v>182831</v>
      </c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254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40+36+22+20+5+19+98</f>
        <v>240</v>
      </c>
    </row>
    <row r="38" spans="1:9" x14ac:dyDescent="0.25">
      <c r="B38" s="31" t="s">
        <v>65</v>
      </c>
      <c r="C38" s="30">
        <f>6+4+4</f>
        <v>14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D943-B40F-456D-85E3-C0C2D7802762}">
  <dimension ref="A1:I38"/>
  <sheetViews>
    <sheetView topLeftCell="A31" zoomScale="130" zoomScaleNormal="130" workbookViewId="0">
      <selection activeCell="A5" sqref="A5:I38"/>
    </sheetView>
  </sheetViews>
  <sheetFormatPr defaultRowHeight="15" x14ac:dyDescent="0.25"/>
  <cols>
    <col min="1" max="1" width="4.28515625" customWidth="1"/>
    <col min="2" max="2" width="39.28515625" customWidth="1"/>
    <col min="3" max="3" width="7.42578125" customWidth="1"/>
    <col min="4" max="4" width="6.28515625" customWidth="1"/>
    <col min="5" max="5" width="6" customWidth="1"/>
    <col min="6" max="6" width="6.140625" customWidth="1"/>
    <col min="7" max="7" width="6.28515625" customWidth="1"/>
    <col min="8" max="8" width="7.140625" customWidth="1"/>
    <col min="9" max="9" width="7.425781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67</v>
      </c>
      <c r="D3" s="65"/>
      <c r="E3" s="65"/>
      <c r="F3" s="65"/>
      <c r="G3" s="65"/>
    </row>
    <row r="4" spans="1:9" ht="16.5" x14ac:dyDescent="0.3">
      <c r="C4" s="28"/>
      <c r="D4" s="28" t="s">
        <v>79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861+774+1046+861+598+2803</f>
        <v>6943</v>
      </c>
      <c r="D8" s="25"/>
      <c r="E8" s="16"/>
      <c r="F8" s="16">
        <f>1453</f>
        <v>1453</v>
      </c>
      <c r="G8" s="16"/>
      <c r="H8" s="16">
        <f>861</f>
        <v>861</v>
      </c>
      <c r="I8" s="16">
        <f>861+774+1046+598+1350</f>
        <v>4629</v>
      </c>
    </row>
    <row r="9" spans="1:9" x14ac:dyDescent="0.25">
      <c r="A9" s="13" t="s">
        <v>13</v>
      </c>
      <c r="B9" s="17" t="s">
        <v>14</v>
      </c>
      <c r="C9" s="16">
        <f>1453</f>
        <v>1453</v>
      </c>
      <c r="D9" s="25"/>
      <c r="E9" s="22"/>
      <c r="F9" s="22">
        <f>1453</f>
        <v>1453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861+774+1046+861+598+1350</f>
        <v>5490</v>
      </c>
      <c r="D14" s="26"/>
      <c r="E14" s="22"/>
      <c r="F14" s="22"/>
      <c r="G14" s="16"/>
      <c r="H14" s="16">
        <f>861</f>
        <v>861</v>
      </c>
      <c r="I14" s="16">
        <f>861+774+1046+598+1350</f>
        <v>4629</v>
      </c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/>
      <c r="D16" s="26"/>
      <c r="E16" s="22"/>
      <c r="F16" s="22"/>
      <c r="G16" s="22"/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10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1+2+1+1+1+4</f>
        <v>10</v>
      </c>
    </row>
    <row r="38" spans="1:9" x14ac:dyDescent="0.25">
      <c r="B38" s="31" t="s">
        <v>65</v>
      </c>
      <c r="C38" s="30">
        <f>0</f>
        <v>0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0D21-B8EA-4C4D-9B2F-95EB2BDC0EA6}">
  <dimension ref="A1:J38"/>
  <sheetViews>
    <sheetView tabSelected="1" zoomScale="140" zoomScaleNormal="140" workbookViewId="0">
      <selection activeCell="K16" sqref="K16"/>
    </sheetView>
  </sheetViews>
  <sheetFormatPr defaultRowHeight="15" x14ac:dyDescent="0.25"/>
  <cols>
    <col min="1" max="1" width="3.7109375" customWidth="1"/>
    <col min="2" max="2" width="41" customWidth="1"/>
    <col min="3" max="3" width="7.85546875" customWidth="1"/>
  </cols>
  <sheetData>
    <row r="1" spans="1:10" ht="15.75" x14ac:dyDescent="0.25">
      <c r="A1" s="27" t="s">
        <v>66</v>
      </c>
    </row>
    <row r="3" spans="1:10" ht="15.75" x14ac:dyDescent="0.25">
      <c r="C3" s="65" t="s">
        <v>88</v>
      </c>
      <c r="D3" s="65"/>
      <c r="E3" s="65"/>
      <c r="F3" s="65"/>
      <c r="G3" s="65"/>
    </row>
    <row r="4" spans="1:10" ht="16.5" x14ac:dyDescent="0.3">
      <c r="C4" s="28"/>
      <c r="D4" s="28"/>
      <c r="E4" s="28"/>
      <c r="F4" s="28"/>
      <c r="G4" s="28"/>
    </row>
    <row r="5" spans="1:10" ht="12" customHeight="1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  <c r="J5" s="63"/>
    </row>
    <row r="6" spans="1:10" ht="12.75" customHeight="1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  <c r="J6" s="63"/>
    </row>
    <row r="7" spans="1:10" ht="13.5" customHeight="1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  <c r="J7" s="63"/>
    </row>
    <row r="8" spans="1:10" ht="13.5" customHeight="1" x14ac:dyDescent="0.25">
      <c r="A8" s="13">
        <v>0</v>
      </c>
      <c r="B8" s="15" t="s">
        <v>12</v>
      </c>
      <c r="C8" s="22">
        <f>167213+211298+476784+434681+92028+239689+215272+787513+317301+291608+149300+185231+6943</f>
        <v>3574861</v>
      </c>
      <c r="D8" s="25">
        <f>11530+48943+329613+7086+7114+8833+12981+4785</f>
        <v>430885</v>
      </c>
      <c r="E8" s="22">
        <f>118340</f>
        <v>118340</v>
      </c>
      <c r="F8" s="22">
        <f>91944+18117+19951+423043+92028+232575+206439+106314+250283+1453</f>
        <v>1442147</v>
      </c>
      <c r="G8" s="22">
        <f>63739+74322+127220+3006+297451+10521</f>
        <v>576259</v>
      </c>
      <c r="H8" s="22">
        <f>69916+4131+173268+149300+185231+861</f>
        <v>582707</v>
      </c>
      <c r="I8" s="16">
        <f>1546+370767+47581+4629</f>
        <v>424523</v>
      </c>
      <c r="J8" s="63"/>
    </row>
    <row r="9" spans="1:10" x14ac:dyDescent="0.25">
      <c r="A9" s="13" t="s">
        <v>13</v>
      </c>
      <c r="B9" s="17" t="s">
        <v>14</v>
      </c>
      <c r="C9" s="16">
        <f>80664+4851+426182+92028+239689+212174+149135+250017+118340+1453</f>
        <v>1574533</v>
      </c>
      <c r="D9" s="25">
        <f>5188+7086+7114+6138+11425+4785</f>
        <v>41736</v>
      </c>
      <c r="E9" s="22">
        <f>118340</f>
        <v>118340</v>
      </c>
      <c r="F9" s="22">
        <f>75476+4851+419096+92028+232575+206036+106284+245232+1453</f>
        <v>1383031</v>
      </c>
      <c r="G9" s="16">
        <f>1203</f>
        <v>1203</v>
      </c>
      <c r="H9" s="24"/>
      <c r="I9" s="16">
        <f>30223</f>
        <v>30223</v>
      </c>
      <c r="J9" s="63"/>
    </row>
    <row r="10" spans="1:10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  <c r="J10" s="63"/>
    </row>
    <row r="11" spans="1:10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  <c r="J11" s="63"/>
    </row>
    <row r="12" spans="1:10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  <c r="J12" s="63"/>
    </row>
    <row r="13" spans="1:10" ht="14.25" customHeight="1" x14ac:dyDescent="0.25">
      <c r="A13" s="13" t="s">
        <v>21</v>
      </c>
      <c r="B13" s="17" t="s">
        <v>22</v>
      </c>
      <c r="C13" s="16">
        <f>13499+835</f>
        <v>14334</v>
      </c>
      <c r="D13" s="25">
        <f>6342+456</f>
        <v>6798</v>
      </c>
      <c r="E13" s="22"/>
      <c r="F13" s="22">
        <v>7157</v>
      </c>
      <c r="G13" s="16"/>
      <c r="H13" s="16"/>
      <c r="I13" s="16">
        <f>379</f>
        <v>379</v>
      </c>
      <c r="J13" s="63"/>
    </row>
    <row r="14" spans="1:10" ht="11.25" customHeight="1" x14ac:dyDescent="0.25">
      <c r="A14" s="13" t="s">
        <v>23</v>
      </c>
      <c r="B14" s="17" t="s">
        <v>24</v>
      </c>
      <c r="C14" s="16">
        <f>3098+600+10224+12342+2400+5490</f>
        <v>34154</v>
      </c>
      <c r="D14" s="25">
        <f>2695</f>
        <v>2695</v>
      </c>
      <c r="E14" s="22"/>
      <c r="F14" s="22">
        <f>403</f>
        <v>403</v>
      </c>
      <c r="G14" s="16"/>
      <c r="H14" s="16">
        <f>600+10224+12342+2400+861</f>
        <v>26427</v>
      </c>
      <c r="I14" s="16">
        <f>4629</f>
        <v>4629</v>
      </c>
      <c r="J14" s="63"/>
    </row>
    <row r="15" spans="1:10" ht="12.75" customHeight="1" x14ac:dyDescent="0.25">
      <c r="A15" s="13" t="s">
        <v>25</v>
      </c>
      <c r="B15" s="19" t="s">
        <v>26</v>
      </c>
      <c r="C15" s="16">
        <f>60825+12019+8498+111477+14528+8334</f>
        <v>215681</v>
      </c>
      <c r="D15" s="26"/>
      <c r="E15" s="22"/>
      <c r="F15" s="22">
        <f>3946</f>
        <v>3946</v>
      </c>
      <c r="G15" s="16">
        <f>47613+12019+3006+68344+10521</f>
        <v>141503</v>
      </c>
      <c r="H15" s="16">
        <f>13212+8334</f>
        <v>21546</v>
      </c>
      <c r="I15" s="16">
        <f>1546+43133+4007</f>
        <v>48686</v>
      </c>
      <c r="J15" s="63"/>
    </row>
    <row r="16" spans="1:10" ht="24" customHeight="1" x14ac:dyDescent="0.25">
      <c r="A16" s="20" t="s">
        <v>27</v>
      </c>
      <c r="B16" s="21" t="s">
        <v>28</v>
      </c>
      <c r="C16" s="22">
        <f>72897+22556+13826+11897+48354+154710+136958+182831</f>
        <v>644029</v>
      </c>
      <c r="D16" s="26"/>
      <c r="E16" s="22"/>
      <c r="F16" s="22">
        <f>9311+1249</f>
        <v>10560</v>
      </c>
      <c r="G16" s="22">
        <f>63586+22556+13826+1039</f>
        <v>101007</v>
      </c>
      <c r="H16" s="22">
        <f>3531+154710+136958+182831</f>
        <v>478030</v>
      </c>
      <c r="I16" s="22">
        <f>10858+43574</f>
        <v>54432</v>
      </c>
      <c r="J16" s="63"/>
    </row>
    <row r="17" spans="1:10" ht="12.75" customHeight="1" x14ac:dyDescent="0.25">
      <c r="A17" s="20" t="s">
        <v>29</v>
      </c>
      <c r="B17" s="21" t="s">
        <v>30</v>
      </c>
      <c r="C17" s="22">
        <f>22270+14676+1979</f>
        <v>38925</v>
      </c>
      <c r="D17" s="22"/>
      <c r="E17" s="22"/>
      <c r="F17" s="22">
        <f>18117+14676</f>
        <v>32793</v>
      </c>
      <c r="G17" s="22">
        <f>4153+1008</f>
        <v>5161</v>
      </c>
      <c r="H17" s="22"/>
      <c r="I17" s="22">
        <f>971</f>
        <v>971</v>
      </c>
      <c r="J17" s="63"/>
    </row>
    <row r="18" spans="1:10" ht="12" customHeight="1" x14ac:dyDescent="0.25">
      <c r="A18" s="20" t="s">
        <v>31</v>
      </c>
      <c r="B18" s="21" t="s">
        <v>32</v>
      </c>
      <c r="C18" s="22">
        <f>3275</f>
        <v>3275</v>
      </c>
      <c r="D18" s="22"/>
      <c r="E18" s="22"/>
      <c r="F18" s="22"/>
      <c r="G18" s="22">
        <f>3275</f>
        <v>3275</v>
      </c>
      <c r="H18" s="22"/>
      <c r="I18" s="22"/>
      <c r="J18" s="63"/>
    </row>
    <row r="19" spans="1:10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  <c r="J19" s="63"/>
    </row>
    <row r="20" spans="1:10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  <c r="J20" s="63"/>
    </row>
    <row r="21" spans="1:10" ht="11.25" customHeight="1" x14ac:dyDescent="0.25">
      <c r="A21" s="20" t="s">
        <v>37</v>
      </c>
      <c r="B21" s="21" t="s">
        <v>38</v>
      </c>
      <c r="C21" s="22">
        <f>105647+94645</f>
        <v>200292</v>
      </c>
      <c r="D21" s="22">
        <f>48943+89915</f>
        <v>138858</v>
      </c>
      <c r="E21" s="22"/>
      <c r="F21" s="22">
        <f>425</f>
        <v>425</v>
      </c>
      <c r="G21" s="22">
        <f>4305</f>
        <v>4305</v>
      </c>
      <c r="H21" s="22">
        <f>56704</f>
        <v>56704</v>
      </c>
      <c r="I21" s="22"/>
      <c r="J21" s="63"/>
    </row>
    <row r="22" spans="1:10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  <c r="J22" s="63"/>
    </row>
    <row r="23" spans="1:10" ht="12" customHeight="1" x14ac:dyDescent="0.25">
      <c r="A23" s="20" t="s">
        <v>41</v>
      </c>
      <c r="B23" s="21" t="s">
        <v>42</v>
      </c>
      <c r="C23" s="22">
        <f>331805+242926</f>
        <v>574731</v>
      </c>
      <c r="D23" s="22">
        <f>239698+1100</f>
        <v>240798</v>
      </c>
      <c r="E23" s="22"/>
      <c r="F23" s="22"/>
      <c r="G23" s="22">
        <f>92107+23655</f>
        <v>115762</v>
      </c>
      <c r="H23" s="22"/>
      <c r="I23" s="22">
        <f>218171</f>
        <v>218171</v>
      </c>
      <c r="J23" s="63"/>
    </row>
    <row r="24" spans="1:10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  <c r="J24" s="63"/>
    </row>
    <row r="25" spans="1:10" ht="9.75" customHeight="1" x14ac:dyDescent="0.25">
      <c r="A25" s="20" t="s">
        <v>45</v>
      </c>
      <c r="B25" s="21" t="s">
        <v>46</v>
      </c>
      <c r="C25" s="22">
        <f>1182</f>
        <v>1182</v>
      </c>
      <c r="D25" s="22"/>
      <c r="E25" s="22"/>
      <c r="F25" s="22"/>
      <c r="G25" s="22"/>
      <c r="H25" s="22"/>
      <c r="I25" s="22">
        <f>1182</f>
        <v>1182</v>
      </c>
      <c r="J25" s="63"/>
    </row>
    <row r="26" spans="1:10" ht="11.25" customHeight="1" x14ac:dyDescent="0.25">
      <c r="A26" s="20" t="s">
        <v>47</v>
      </c>
      <c r="B26" s="21" t="s">
        <v>48</v>
      </c>
      <c r="C26" s="22">
        <f>79260</f>
        <v>79260</v>
      </c>
      <c r="D26" s="22"/>
      <c r="E26" s="22"/>
      <c r="F26" s="22">
        <f>30</f>
        <v>30</v>
      </c>
      <c r="G26" s="22">
        <f>46110</f>
        <v>46110</v>
      </c>
      <c r="H26" s="22"/>
      <c r="I26" s="22">
        <f>33120</f>
        <v>33120</v>
      </c>
      <c r="J26" s="63"/>
    </row>
    <row r="27" spans="1:10" ht="12" customHeight="1" x14ac:dyDescent="0.25">
      <c r="A27" s="20" t="s">
        <v>49</v>
      </c>
      <c r="B27" s="21" t="s">
        <v>50</v>
      </c>
      <c r="C27" s="22">
        <f>3802</f>
        <v>3802</v>
      </c>
      <c r="D27" s="22"/>
      <c r="E27" s="22"/>
      <c r="F27" s="22">
        <f>3802</f>
        <v>3802</v>
      </c>
      <c r="G27" s="22"/>
      <c r="H27" s="22"/>
      <c r="I27" s="22"/>
      <c r="J27" s="63"/>
    </row>
    <row r="28" spans="1:10" ht="12" customHeight="1" x14ac:dyDescent="0.25">
      <c r="A28" s="13" t="s">
        <v>51</v>
      </c>
      <c r="B28" s="17" t="s">
        <v>52</v>
      </c>
      <c r="C28" s="16">
        <f>6077</f>
        <v>6077</v>
      </c>
      <c r="D28" s="16"/>
      <c r="E28" s="16"/>
      <c r="F28" s="16"/>
      <c r="G28" s="16">
        <f>5064</f>
        <v>5064</v>
      </c>
      <c r="H28" s="16"/>
      <c r="I28" s="16">
        <f>1013</f>
        <v>1013</v>
      </c>
      <c r="J28" s="63"/>
    </row>
    <row r="29" spans="1:10" ht="11.25" customHeight="1" x14ac:dyDescent="0.25">
      <c r="A29" s="13" t="s">
        <v>53</v>
      </c>
      <c r="B29" s="17" t="s">
        <v>54</v>
      </c>
      <c r="C29" s="16">
        <f>153+4963+179470</f>
        <v>184586</v>
      </c>
      <c r="D29" s="16"/>
      <c r="E29" s="16"/>
      <c r="F29" s="16"/>
      <c r="G29" s="16">
        <f>153+4963+147753</f>
        <v>152869</v>
      </c>
      <c r="H29" s="16"/>
      <c r="I29" s="16">
        <f>31717</f>
        <v>31717</v>
      </c>
      <c r="J29" s="63"/>
    </row>
    <row r="30" spans="1:10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  <c r="J30" s="63"/>
    </row>
    <row r="31" spans="1:10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  <c r="J31" s="63"/>
    </row>
    <row r="32" spans="1:10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  <c r="J32" s="63"/>
    </row>
    <row r="33" spans="1:10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  <c r="J33" s="63"/>
    </row>
    <row r="34" spans="1:10" ht="9.75" customHeight="1" x14ac:dyDescent="0.25"/>
    <row r="35" spans="1:10" ht="14.25" customHeight="1" x14ac:dyDescent="0.25">
      <c r="B35" s="29" t="s">
        <v>63</v>
      </c>
      <c r="C35" s="30">
        <f>C37+C38</f>
        <v>3236</v>
      </c>
    </row>
    <row r="36" spans="1:10" ht="10.5" customHeight="1" x14ac:dyDescent="0.25">
      <c r="B36" s="31" t="s">
        <v>1</v>
      </c>
      <c r="C36" s="29"/>
    </row>
    <row r="37" spans="1:10" x14ac:dyDescent="0.25">
      <c r="B37" s="31" t="s">
        <v>64</v>
      </c>
      <c r="C37" s="30">
        <f>50+18+204+293+68+194+134+299+210+224+171+240+10</f>
        <v>2115</v>
      </c>
    </row>
    <row r="38" spans="1:10" ht="12.75" customHeight="1" x14ac:dyDescent="0.25">
      <c r="B38" s="31" t="s">
        <v>65</v>
      </c>
      <c r="C38" s="30">
        <f>110+130+175+78+3+22+35+398+41+83+32+14</f>
        <v>1121</v>
      </c>
    </row>
  </sheetData>
  <mergeCells count="1">
    <mergeCell ref="C3: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54CE-4595-48D0-99BD-E86B20859F91}">
  <dimension ref="A1:I38"/>
  <sheetViews>
    <sheetView zoomScale="130" zoomScaleNormal="130" workbookViewId="0">
      <selection activeCell="B43" sqref="B43"/>
    </sheetView>
  </sheetViews>
  <sheetFormatPr defaultRowHeight="15" x14ac:dyDescent="0.25"/>
  <cols>
    <col min="1" max="1" width="4.5703125" customWidth="1"/>
    <col min="2" max="2" width="48.1406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82</v>
      </c>
      <c r="D3" s="65"/>
      <c r="E3" s="65"/>
      <c r="F3" s="65"/>
      <c r="G3" s="65"/>
    </row>
    <row r="4" spans="1:9" ht="16.5" x14ac:dyDescent="0.3">
      <c r="C4" s="28"/>
      <c r="D4" s="28" t="s">
        <v>69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35304+36385+10052+6351+4444+5718+113044</f>
        <v>211298</v>
      </c>
      <c r="D8" s="25">
        <f>18336+24796+5811</f>
        <v>48943</v>
      </c>
      <c r="E8" s="16"/>
      <c r="F8" s="16">
        <f>1610+1582+830+1547+2243+10305</f>
        <v>18117</v>
      </c>
      <c r="G8" s="16">
        <f>15358+10007+3411+4804+2201+5718+32823</f>
        <v>74322</v>
      </c>
      <c r="H8" s="16">
        <f>69916</f>
        <v>69916</v>
      </c>
      <c r="I8" s="16"/>
    </row>
    <row r="9" spans="1:9" x14ac:dyDescent="0.25">
      <c r="A9" s="13" t="s">
        <v>13</v>
      </c>
      <c r="B9" s="17" t="s">
        <v>14</v>
      </c>
      <c r="C9" s="16"/>
      <c r="D9" s="25"/>
      <c r="E9" s="22"/>
      <c r="F9" s="22"/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>
        <f>7807+10007+3411+4804+2201+5718+26877</f>
        <v>60825</v>
      </c>
      <c r="D15" s="26"/>
      <c r="E15" s="22"/>
      <c r="F15" s="22"/>
      <c r="G15" s="16">
        <f>7807+10007+3411+4804+2201+5718+13665</f>
        <v>47613</v>
      </c>
      <c r="H15" s="16">
        <f>13212</f>
        <v>13212</v>
      </c>
      <c r="I15" s="16"/>
    </row>
    <row r="16" spans="1:9" ht="24" customHeight="1" x14ac:dyDescent="0.25">
      <c r="A16" s="20" t="s">
        <v>27</v>
      </c>
      <c r="B16" s="21" t="s">
        <v>28</v>
      </c>
      <c r="C16" s="22">
        <f>7551+15005</f>
        <v>22556</v>
      </c>
      <c r="D16" s="26"/>
      <c r="E16" s="22"/>
      <c r="F16" s="22"/>
      <c r="G16" s="22">
        <f>7551+15005</f>
        <v>22556</v>
      </c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>
        <f>1610+1582+830+1547+2243+14458</f>
        <v>22270</v>
      </c>
      <c r="D17" s="22"/>
      <c r="E17" s="22"/>
      <c r="F17" s="22">
        <f>1610+1582+830+1547+2243+10305</f>
        <v>18117</v>
      </c>
      <c r="G17" s="22">
        <f>4153</f>
        <v>4153</v>
      </c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>
        <f>18336+24796+5811+56704</f>
        <v>105647</v>
      </c>
      <c r="D21" s="22">
        <f>18336+24796+5811</f>
        <v>48943</v>
      </c>
      <c r="E21" s="22"/>
      <c r="F21" s="22"/>
      <c r="G21" s="22"/>
      <c r="H21" s="22">
        <f>56704</f>
        <v>56704</v>
      </c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148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1+1+1+15</f>
        <v>18</v>
      </c>
    </row>
    <row r="38" spans="1:9" x14ac:dyDescent="0.25">
      <c r="B38" s="31" t="s">
        <v>65</v>
      </c>
      <c r="C38" s="30">
        <f>29+30+8+6+5+5+47</f>
        <v>130</v>
      </c>
    </row>
  </sheetData>
  <mergeCells count="1">
    <mergeCell ref="C3:G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7E75-AB22-43D4-B91C-62DC726188D6}">
  <dimension ref="A1:I38"/>
  <sheetViews>
    <sheetView zoomScale="130" zoomScaleNormal="130" workbookViewId="0">
      <selection activeCell="J8" sqref="J8:J9"/>
    </sheetView>
  </sheetViews>
  <sheetFormatPr defaultRowHeight="15" x14ac:dyDescent="0.25"/>
  <cols>
    <col min="1" max="1" width="5" customWidth="1"/>
    <col min="2" max="2" width="36.5703125" customWidth="1"/>
    <col min="3" max="3" width="6.85546875" customWidth="1"/>
    <col min="4" max="4" width="6.7109375" customWidth="1"/>
    <col min="5" max="5" width="6.28515625" customWidth="1"/>
    <col min="6" max="6" width="6.85546875" customWidth="1"/>
    <col min="7" max="7" width="7.5703125" customWidth="1"/>
    <col min="8" max="9" width="6.1406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82</v>
      </c>
      <c r="D3" s="65"/>
      <c r="E3" s="65"/>
      <c r="F3" s="65"/>
      <c r="G3" s="65"/>
    </row>
    <row r="4" spans="1:9" ht="16.5" x14ac:dyDescent="0.3">
      <c r="C4" s="28"/>
      <c r="D4" s="28" t="s">
        <v>70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39714+72381+38838+37427+40642+37092+210690</f>
        <v>476784</v>
      </c>
      <c r="D8" s="25">
        <f>32376+66852+30378+27982+33128+20057+118840</f>
        <v>329613</v>
      </c>
      <c r="E8" s="16"/>
      <c r="F8" s="16">
        <f>425+2313+1455+581+484+14693</f>
        <v>19951</v>
      </c>
      <c r="G8" s="16">
        <f>6913+5529+6147+7990+6933+16551+77157</f>
        <v>127220</v>
      </c>
      <c r="H8" s="16"/>
      <c r="I8" s="16"/>
    </row>
    <row r="9" spans="1:9" x14ac:dyDescent="0.25">
      <c r="A9" s="13" t="s">
        <v>13</v>
      </c>
      <c r="B9" s="17" t="s">
        <v>14</v>
      </c>
      <c r="C9" s="16">
        <f>4851</f>
        <v>4851</v>
      </c>
      <c r="D9" s="25"/>
      <c r="E9" s="22"/>
      <c r="F9" s="22">
        <f>4851</f>
        <v>4851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>
        <f>12019</f>
        <v>12019</v>
      </c>
      <c r="D15" s="26"/>
      <c r="E15" s="22"/>
      <c r="F15" s="22"/>
      <c r="G15" s="16">
        <f>12019</f>
        <v>12019</v>
      </c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>
        <f>6045+7781</f>
        <v>13826</v>
      </c>
      <c r="D16" s="26"/>
      <c r="E16" s="22"/>
      <c r="F16" s="22"/>
      <c r="G16" s="22">
        <f>6045+7781</f>
        <v>13826</v>
      </c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>
        <f>2313+1455+581+484+9843</f>
        <v>14676</v>
      </c>
      <c r="D17" s="22"/>
      <c r="E17" s="22"/>
      <c r="F17" s="22">
        <f>2313+1455+581+484+9843</f>
        <v>14676</v>
      </c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>
        <f>16873+35147+5540+1839+5687+29559</f>
        <v>94645</v>
      </c>
      <c r="D21" s="22">
        <f>16448+35147+5540+5687+27093</f>
        <v>89915</v>
      </c>
      <c r="E21" s="22"/>
      <c r="F21" s="22">
        <f>425</f>
        <v>425</v>
      </c>
      <c r="G21" s="22">
        <f>1839+2466</f>
        <v>4305</v>
      </c>
      <c r="H21" s="22"/>
      <c r="I21" s="22"/>
    </row>
    <row r="22" spans="1:9" ht="11.2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>
        <f>22841+37234+30985+35972+38222+24876+141674</f>
        <v>331804</v>
      </c>
      <c r="D23" s="22">
        <f>15928+31705+24838+27982+33128+14370+91746</f>
        <v>239697</v>
      </c>
      <c r="E23" s="22"/>
      <c r="F23" s="22"/>
      <c r="G23" s="22">
        <f>6913+5529+6147+7990+5094+10506+49928</f>
        <v>92107</v>
      </c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>
        <f>4963</f>
        <v>4963</v>
      </c>
      <c r="D29" s="16"/>
      <c r="E29" s="16"/>
      <c r="F29" s="16"/>
      <c r="G29" s="16">
        <f>4963</f>
        <v>4963</v>
      </c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379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11+10+22+18+19+16+108</f>
        <v>204</v>
      </c>
    </row>
    <row r="38" spans="1:9" x14ac:dyDescent="0.25">
      <c r="B38" s="31" t="s">
        <v>65</v>
      </c>
      <c r="C38" s="30">
        <f>19+45+8+12+10+11+70</f>
        <v>175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1B6C-18B1-4646-A288-FC2D0331E7AD}">
  <dimension ref="A1:I38"/>
  <sheetViews>
    <sheetView topLeftCell="A19" zoomScale="120" zoomScaleNormal="120" workbookViewId="0">
      <selection activeCell="A5" sqref="A5:I38"/>
    </sheetView>
  </sheetViews>
  <sheetFormatPr defaultRowHeight="15" x14ac:dyDescent="0.25"/>
  <cols>
    <col min="1" max="1" width="4.7109375" customWidth="1"/>
    <col min="2" max="2" width="35.140625" customWidth="1"/>
    <col min="3" max="4" width="7" customWidth="1"/>
    <col min="5" max="5" width="6.7109375" customWidth="1"/>
    <col min="6" max="7" width="7.28515625" customWidth="1"/>
    <col min="8" max="8" width="6.7109375" customWidth="1"/>
    <col min="9" max="9" width="7.1406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83</v>
      </c>
      <c r="D3" s="65"/>
      <c r="E3" s="65"/>
      <c r="F3" s="65"/>
      <c r="G3" s="65"/>
    </row>
    <row r="4" spans="1:9" ht="16.5" x14ac:dyDescent="0.3">
      <c r="C4" s="28"/>
      <c r="D4" s="28" t="s">
        <v>71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38951+63910+45625+43728+35696+51651+155120</f>
        <v>434681</v>
      </c>
      <c r="D8" s="25">
        <f>3017+4069</f>
        <v>7086</v>
      </c>
      <c r="E8" s="16"/>
      <c r="F8" s="16">
        <f>38951+61906+45625+40711+34694+51651+149505</f>
        <v>423043</v>
      </c>
      <c r="G8" s="16">
        <f>2004+1002</f>
        <v>3006</v>
      </c>
      <c r="H8" s="16"/>
      <c r="I8" s="16">
        <f>1546</f>
        <v>1546</v>
      </c>
    </row>
    <row r="9" spans="1:9" x14ac:dyDescent="0.25">
      <c r="A9" s="13" t="s">
        <v>13</v>
      </c>
      <c r="B9" s="17" t="s">
        <v>14</v>
      </c>
      <c r="C9" s="16">
        <f>38951+61906+43637+43728+34694+51651+151615</f>
        <v>426182</v>
      </c>
      <c r="D9" s="25">
        <f>3017+4069</f>
        <v>7086</v>
      </c>
      <c r="E9" s="22"/>
      <c r="F9" s="22">
        <f>38951+61906+43637+40711+34694+51651+147546</f>
        <v>419096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>
        <f>2004+1988+1002+3504</f>
        <v>8498</v>
      </c>
      <c r="D15" s="26"/>
      <c r="E15" s="22"/>
      <c r="F15" s="22">
        <f>1988+1958</f>
        <v>3946</v>
      </c>
      <c r="G15" s="16">
        <f>2004+1002</f>
        <v>3006</v>
      </c>
      <c r="H15" s="16"/>
      <c r="I15" s="16">
        <f>1546</f>
        <v>1546</v>
      </c>
    </row>
    <row r="16" spans="1:9" ht="24" customHeight="1" x14ac:dyDescent="0.25">
      <c r="A16" s="20" t="s">
        <v>27</v>
      </c>
      <c r="B16" s="21" t="s">
        <v>28</v>
      </c>
      <c r="C16" s="22"/>
      <c r="D16" s="26"/>
      <c r="E16" s="22"/>
      <c r="F16" s="22"/>
      <c r="G16" s="22"/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371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21+39+32+28+30+31+112</f>
        <v>293</v>
      </c>
    </row>
    <row r="38" spans="1:9" x14ac:dyDescent="0.25">
      <c r="B38" s="31" t="s">
        <v>65</v>
      </c>
      <c r="C38" s="30">
        <f>12+11+7+10+3+10+25</f>
        <v>78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9ACF-FC15-4D44-9D16-8D3DF72B6A58}">
  <dimension ref="A1:I38"/>
  <sheetViews>
    <sheetView zoomScale="130" zoomScaleNormal="130" workbookViewId="0">
      <selection activeCell="E45" sqref="E45"/>
    </sheetView>
  </sheetViews>
  <sheetFormatPr defaultRowHeight="15" x14ac:dyDescent="0.25"/>
  <cols>
    <col min="1" max="1" width="4.5703125" customWidth="1"/>
    <col min="2" max="2" width="51.8554687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84</v>
      </c>
      <c r="D3" s="65"/>
      <c r="E3" s="65"/>
      <c r="F3" s="65"/>
      <c r="G3" s="65"/>
    </row>
    <row r="4" spans="1:9" ht="16.5" x14ac:dyDescent="0.3">
      <c r="C4" s="28"/>
      <c r="D4" s="28" t="s">
        <v>72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4989+2944+7411+6570+70114</f>
        <v>92028</v>
      </c>
      <c r="D8" s="25"/>
      <c r="E8" s="16"/>
      <c r="F8" s="16">
        <f>4989+2944+7411+6570+70114</f>
        <v>92028</v>
      </c>
      <c r="G8" s="16"/>
      <c r="H8" s="16"/>
      <c r="I8" s="16"/>
    </row>
    <row r="9" spans="1:9" x14ac:dyDescent="0.25">
      <c r="A9" s="13" t="s">
        <v>13</v>
      </c>
      <c r="B9" s="17" t="s">
        <v>14</v>
      </c>
      <c r="C9" s="16">
        <f>4989+2944+7411+6570+70114</f>
        <v>92028</v>
      </c>
      <c r="D9" s="25"/>
      <c r="E9" s="22"/>
      <c r="F9" s="22">
        <f>4989+2944+7411+6570+70114</f>
        <v>92028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/>
      <c r="D16" s="26"/>
      <c r="E16" s="22"/>
      <c r="F16" s="22"/>
      <c r="G16" s="22"/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71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5+3+4+6+50</f>
        <v>68</v>
      </c>
    </row>
    <row r="38" spans="1:9" x14ac:dyDescent="0.25">
      <c r="B38" s="31" t="s">
        <v>65</v>
      </c>
      <c r="C38" s="30">
        <f>0+1+2</f>
        <v>3</v>
      </c>
    </row>
  </sheetData>
  <mergeCells count="1">
    <mergeCell ref="C3:G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9D01-E3E9-4DA1-BB0B-0AB682C83D3F}">
  <dimension ref="A1:I39"/>
  <sheetViews>
    <sheetView zoomScale="130" zoomScaleNormal="130" workbookViewId="0">
      <selection activeCell="A5" sqref="A5:I38"/>
    </sheetView>
  </sheetViews>
  <sheetFormatPr defaultRowHeight="15" x14ac:dyDescent="0.25"/>
  <cols>
    <col min="1" max="1" width="3.85546875" customWidth="1"/>
    <col min="2" max="2" width="36.140625" customWidth="1"/>
    <col min="3" max="3" width="7.140625" customWidth="1"/>
    <col min="4" max="4" width="7" customWidth="1"/>
    <col min="5" max="5" width="6.28515625" customWidth="1"/>
    <col min="6" max="6" width="7.85546875" customWidth="1"/>
    <col min="7" max="7" width="5.85546875" customWidth="1"/>
    <col min="8" max="8" width="6.85546875" customWidth="1"/>
    <col min="9" max="9" width="7.425781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82</v>
      </c>
      <c r="D3" s="65"/>
      <c r="E3" s="65"/>
      <c r="F3" s="65"/>
      <c r="G3" s="65"/>
    </row>
    <row r="4" spans="1:9" ht="16.5" x14ac:dyDescent="0.3">
      <c r="C4" s="28"/>
      <c r="D4" s="28" t="s">
        <v>73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27051+39259+21694+26913+7508+26728+90536</f>
        <v>239689</v>
      </c>
      <c r="D8" s="25">
        <v>7114</v>
      </c>
      <c r="E8" s="16"/>
      <c r="F8" s="16">
        <f>27051+39259+21694+7508+26728+19799+90536</f>
        <v>232575</v>
      </c>
      <c r="G8" s="16"/>
      <c r="H8" s="16"/>
      <c r="I8" s="16"/>
    </row>
    <row r="9" spans="1:9" x14ac:dyDescent="0.25">
      <c r="A9" s="13" t="s">
        <v>13</v>
      </c>
      <c r="B9" s="17" t="s">
        <v>14</v>
      </c>
      <c r="C9" s="16">
        <f>27051+39259+21694+26913+7508+26728+90536</f>
        <v>239689</v>
      </c>
      <c r="D9" s="25">
        <f>7114</f>
        <v>7114</v>
      </c>
      <c r="E9" s="22"/>
      <c r="F9" s="22">
        <f>27051+39259+21694+19799+7508+26728+90536</f>
        <v>232575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/>
      <c r="D16" s="26"/>
      <c r="E16" s="22"/>
      <c r="F16" s="22"/>
      <c r="G16" s="22"/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216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16+33+19+20+9+23+74</f>
        <v>194</v>
      </c>
    </row>
    <row r="38" spans="1:9" x14ac:dyDescent="0.25">
      <c r="B38" s="31" t="s">
        <v>65</v>
      </c>
      <c r="C38" s="30">
        <f>6+6+4+6</f>
        <v>22</v>
      </c>
    </row>
    <row r="39" spans="1:9" x14ac:dyDescent="0.25">
      <c r="E39" t="s">
        <v>85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0D1A-7831-4767-8F40-F7E91AAF108D}">
  <dimension ref="A1:I38"/>
  <sheetViews>
    <sheetView zoomScale="130" zoomScaleNormal="130" workbookViewId="0">
      <selection activeCell="A5" sqref="A5:I38"/>
    </sheetView>
  </sheetViews>
  <sheetFormatPr defaultRowHeight="15" x14ac:dyDescent="0.25"/>
  <cols>
    <col min="1" max="1" width="4.28515625" customWidth="1"/>
    <col min="2" max="2" width="36.28515625" customWidth="1"/>
    <col min="3" max="3" width="7.85546875" customWidth="1"/>
    <col min="4" max="4" width="6.7109375" customWidth="1"/>
    <col min="5" max="5" width="5.85546875" customWidth="1"/>
    <col min="6" max="6" width="7.140625" customWidth="1"/>
    <col min="7" max="7" width="6" customWidth="1"/>
    <col min="8" max="8" width="7.28515625" customWidth="1"/>
    <col min="9" max="9" width="6.57031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67</v>
      </c>
      <c r="D3" s="65"/>
      <c r="E3" s="65"/>
      <c r="F3" s="65"/>
      <c r="G3" s="65"/>
    </row>
    <row r="4" spans="1:9" ht="16.5" x14ac:dyDescent="0.3">
      <c r="C4" s="28"/>
      <c r="D4" s="28" t="s">
        <v>74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12500+12500+20817+14102+10968+52148+92237</f>
        <v>215272</v>
      </c>
      <c r="D8" s="25">
        <f>1300+1395+6138</f>
        <v>8833</v>
      </c>
      <c r="E8" s="16"/>
      <c r="F8" s="16">
        <f>12500+12500+20817+12802+9573+52148+86099</f>
        <v>206439</v>
      </c>
      <c r="G8" s="16"/>
      <c r="H8" s="16"/>
      <c r="I8" s="16"/>
    </row>
    <row r="9" spans="1:9" x14ac:dyDescent="0.25">
      <c r="A9" s="13" t="s">
        <v>13</v>
      </c>
      <c r="B9" s="17" t="s">
        <v>14</v>
      </c>
      <c r="C9" s="16">
        <f>12500+12500+20414+12802+9573+52148+92237</f>
        <v>212174</v>
      </c>
      <c r="D9" s="25">
        <f>6138</f>
        <v>6138</v>
      </c>
      <c r="E9" s="22"/>
      <c r="F9" s="22">
        <f>12500+12500+20414+12802+9573+52148+86099</f>
        <v>206036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5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403+1300+1395</f>
        <v>3098</v>
      </c>
      <c r="D14" s="25">
        <f>1300+1395</f>
        <v>2695</v>
      </c>
      <c r="E14" s="22"/>
      <c r="F14" s="22">
        <f>403</f>
        <v>403</v>
      </c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/>
      <c r="D15" s="26"/>
      <c r="E15" s="22"/>
      <c r="F15" s="22"/>
      <c r="G15" s="16"/>
      <c r="H15" s="16"/>
      <c r="I15" s="16"/>
    </row>
    <row r="16" spans="1:9" ht="24" customHeight="1" x14ac:dyDescent="0.25">
      <c r="A16" s="20" t="s">
        <v>27</v>
      </c>
      <c r="B16" s="21" t="s">
        <v>28</v>
      </c>
      <c r="C16" s="22"/>
      <c r="D16" s="26"/>
      <c r="E16" s="22"/>
      <c r="F16" s="22"/>
      <c r="G16" s="22"/>
      <c r="H16" s="22"/>
      <c r="I16" s="22"/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169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4+12+5+35+78</f>
        <v>134</v>
      </c>
    </row>
    <row r="38" spans="1:9" x14ac:dyDescent="0.25">
      <c r="B38" s="31" t="s">
        <v>65</v>
      </c>
      <c r="C38" s="30">
        <f>6+9+4+10+6</f>
        <v>35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32D0-981D-4101-B858-562C31672D5F}">
  <dimension ref="A1:I38"/>
  <sheetViews>
    <sheetView zoomScale="130" zoomScaleNormal="130" workbookViewId="0">
      <selection activeCell="A5" sqref="A5:I38"/>
    </sheetView>
  </sheetViews>
  <sheetFormatPr defaultRowHeight="15" x14ac:dyDescent="0.25"/>
  <cols>
    <col min="1" max="1" width="4.42578125" customWidth="1"/>
    <col min="2" max="2" width="36" customWidth="1"/>
    <col min="3" max="3" width="7" customWidth="1"/>
    <col min="4" max="4" width="7.140625" customWidth="1"/>
    <col min="5" max="5" width="7" customWidth="1"/>
    <col min="6" max="8" width="6.7109375" customWidth="1"/>
    <col min="9" max="9" width="7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82</v>
      </c>
      <c r="D3" s="65"/>
      <c r="E3" s="65"/>
      <c r="F3" s="65"/>
      <c r="G3" s="65"/>
    </row>
    <row r="4" spans="1:9" ht="16.5" x14ac:dyDescent="0.3">
      <c r="C4" s="28"/>
      <c r="D4" s="28" t="s">
        <v>80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54077+69414+53585+51271+46163+116205+396798</f>
        <v>787513</v>
      </c>
      <c r="D8" s="25">
        <f>2498+10483</f>
        <v>12981</v>
      </c>
      <c r="E8" s="16"/>
      <c r="F8" s="16">
        <f>7169+7813+30+39761+51541</f>
        <v>106314</v>
      </c>
      <c r="G8" s="16">
        <f>28432+28880+33720+24907+17686+30769+133057</f>
        <v>297451</v>
      </c>
      <c r="H8" s="16"/>
      <c r="I8" s="16">
        <f>18476+32721+19865+26364+28447+43177+201717</f>
        <v>370767</v>
      </c>
    </row>
    <row r="9" spans="1:9" ht="18" customHeight="1" x14ac:dyDescent="0.25">
      <c r="A9" s="13" t="s">
        <v>13</v>
      </c>
      <c r="B9" s="17" t="s">
        <v>14</v>
      </c>
      <c r="C9" s="16">
        <f>12360+18017+3001+1000+46520+68237</f>
        <v>149135</v>
      </c>
      <c r="D9" s="25">
        <f>2498+8927</f>
        <v>11425</v>
      </c>
      <c r="E9" s="22"/>
      <c r="F9" s="22">
        <f>7169+7813+39761+51541</f>
        <v>106284</v>
      </c>
      <c r="G9" s="16">
        <v>1203</v>
      </c>
      <c r="H9" s="24"/>
      <c r="I9" s="16">
        <f>5191+9001+3001+1000+4261+7769</f>
        <v>30223</v>
      </c>
    </row>
    <row r="10" spans="1:9" ht="15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>
        <f>835</f>
        <v>835</v>
      </c>
      <c r="D13" s="25">
        <f>456</f>
        <v>456</v>
      </c>
      <c r="E13" s="22"/>
      <c r="F13" s="22"/>
      <c r="G13" s="16"/>
      <c r="H13" s="16"/>
      <c r="I13" s="16">
        <f>379</f>
        <v>379</v>
      </c>
    </row>
    <row r="14" spans="1:9" ht="11.25" customHeight="1" x14ac:dyDescent="0.25">
      <c r="A14" s="13" t="s">
        <v>23</v>
      </c>
      <c r="B14" s="17" t="s">
        <v>24</v>
      </c>
      <c r="C14" s="16"/>
      <c r="D14" s="26"/>
      <c r="E14" s="22"/>
      <c r="F14" s="22"/>
      <c r="G14" s="16"/>
      <c r="H14" s="16"/>
      <c r="I14" s="16"/>
    </row>
    <row r="15" spans="1:9" x14ac:dyDescent="0.25">
      <c r="A15" s="13" t="s">
        <v>25</v>
      </c>
      <c r="B15" s="19" t="s">
        <v>26</v>
      </c>
      <c r="C15" s="16">
        <f>10352+18501+15161+7704+1000+15943+42816</f>
        <v>111477</v>
      </c>
      <c r="D15" s="26"/>
      <c r="E15" s="22"/>
      <c r="F15" s="22"/>
      <c r="G15" s="16">
        <f>10352+11018+15161+6805+1000+8262+15746</f>
        <v>68344</v>
      </c>
      <c r="H15" s="16"/>
      <c r="I15" s="16">
        <f>7483+899+7681+27070</f>
        <v>43133</v>
      </c>
    </row>
    <row r="16" spans="1:9" ht="24" customHeight="1" x14ac:dyDescent="0.25">
      <c r="A16" s="20" t="s">
        <v>27</v>
      </c>
      <c r="B16" s="21" t="s">
        <v>28</v>
      </c>
      <c r="C16" s="22">
        <f>6592 +5305</f>
        <v>11897</v>
      </c>
      <c r="D16" s="26"/>
      <c r="E16" s="22"/>
      <c r="F16" s="22"/>
      <c r="G16" s="22">
        <f>1039</f>
        <v>1039</v>
      </c>
      <c r="H16" s="22"/>
      <c r="I16" s="22">
        <f>5553+5305</f>
        <v>10858</v>
      </c>
    </row>
    <row r="17" spans="1:9" ht="12.75" customHeight="1" x14ac:dyDescent="0.25">
      <c r="A17" s="20" t="s">
        <v>29</v>
      </c>
      <c r="B17" s="21" t="s">
        <v>30</v>
      </c>
      <c r="C17" s="22">
        <f>1979</f>
        <v>1979</v>
      </c>
      <c r="D17" s="22"/>
      <c r="E17" s="22"/>
      <c r="F17" s="22"/>
      <c r="G17" s="22">
        <f>1008</f>
        <v>1008</v>
      </c>
      <c r="H17" s="22"/>
      <c r="I17" s="22">
        <f>971</f>
        <v>971</v>
      </c>
    </row>
    <row r="18" spans="1:9" ht="12" customHeight="1" x14ac:dyDescent="0.25">
      <c r="A18" s="20" t="s">
        <v>31</v>
      </c>
      <c r="B18" s="21" t="s">
        <v>32</v>
      </c>
      <c r="C18" s="22">
        <f>3275</f>
        <v>3275</v>
      </c>
      <c r="D18" s="22"/>
      <c r="E18" s="22"/>
      <c r="F18" s="22"/>
      <c r="G18" s="22">
        <f>3275</f>
        <v>3275</v>
      </c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>
        <f>15385+16167+19762+21380+20468+18436+131328</f>
        <v>242926</v>
      </c>
      <c r="D23" s="22">
        <f>1100</f>
        <v>1100</v>
      </c>
      <c r="E23" s="22"/>
      <c r="F23" s="22"/>
      <c r="G23" s="22">
        <f>2100+2401+2898+1350+14906</f>
        <v>23655</v>
      </c>
      <c r="H23" s="22"/>
      <c r="I23" s="22">
        <f>13285+13766+16864+21380+19118+18436+115322</f>
        <v>218171</v>
      </c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>
        <f>1182</f>
        <v>1182</v>
      </c>
      <c r="D25" s="22"/>
      <c r="E25" s="22"/>
      <c r="F25" s="22"/>
      <c r="G25" s="22"/>
      <c r="H25" s="22"/>
      <c r="I25" s="22">
        <f>1182</f>
        <v>1182</v>
      </c>
    </row>
    <row r="26" spans="1:9" ht="11.25" customHeight="1" x14ac:dyDescent="0.25">
      <c r="A26" s="20" t="s">
        <v>47</v>
      </c>
      <c r="B26" s="21" t="s">
        <v>48</v>
      </c>
      <c r="C26" s="22">
        <f>2162+974+2992+5354+6609+3711+57458</f>
        <v>79260</v>
      </c>
      <c r="D26" s="22"/>
      <c r="E26" s="22"/>
      <c r="F26" s="22">
        <f>30</f>
        <v>30</v>
      </c>
      <c r="G26" s="22">
        <f>2162+974+2992+5354+1034+33594</f>
        <v>46110</v>
      </c>
      <c r="H26" s="22"/>
      <c r="I26" s="22">
        <f>6579+2677+23864</f>
        <v>33120</v>
      </c>
    </row>
    <row r="27" spans="1:9" ht="12" customHeight="1" x14ac:dyDescent="0.25">
      <c r="A27" s="20" t="s">
        <v>49</v>
      </c>
      <c r="B27" s="21" t="s">
        <v>50</v>
      </c>
      <c r="C27" s="22"/>
      <c r="D27" s="22"/>
      <c r="E27" s="22"/>
      <c r="F27" s="22"/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>
        <f>6077</f>
        <v>6077</v>
      </c>
      <c r="D28" s="16"/>
      <c r="E28" s="16"/>
      <c r="F28" s="16"/>
      <c r="G28" s="16">
        <f>5064</f>
        <v>5064</v>
      </c>
      <c r="H28" s="16"/>
      <c r="I28" s="16">
        <f>1013</f>
        <v>1013</v>
      </c>
    </row>
    <row r="29" spans="1:9" ht="11.25" customHeight="1" x14ac:dyDescent="0.25">
      <c r="A29" s="13" t="s">
        <v>53</v>
      </c>
      <c r="B29" s="17" t="s">
        <v>54</v>
      </c>
      <c r="C29" s="16">
        <f>13818+13776+9394+15833+18086+18926+89637</f>
        <v>179470</v>
      </c>
      <c r="D29" s="16"/>
      <c r="E29" s="16"/>
      <c r="F29" s="16"/>
      <c r="G29" s="16">
        <f>13818+12276+9394+12748+15336+15370+68811</f>
        <v>147753</v>
      </c>
      <c r="H29" s="16"/>
      <c r="I29" s="16">
        <f>1500+3085+2750+3556+20826</f>
        <v>31717</v>
      </c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697</v>
      </c>
    </row>
    <row r="36" spans="1:9" ht="10.5" customHeight="1" x14ac:dyDescent="0.25">
      <c r="B36" s="31" t="s">
        <v>1</v>
      </c>
      <c r="C36" s="29"/>
    </row>
    <row r="37" spans="1:9" x14ac:dyDescent="0.25">
      <c r="B37" s="31" t="s">
        <v>64</v>
      </c>
      <c r="C37" s="30">
        <f>16+18+8+15+14+41+187</f>
        <v>299</v>
      </c>
    </row>
    <row r="38" spans="1:9" x14ac:dyDescent="0.25">
      <c r="B38" s="31" t="s">
        <v>65</v>
      </c>
      <c r="C38" s="30">
        <f>29+39+36+26+24+65+179</f>
        <v>398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9079-11BD-4AE1-9584-E9F42154ECD6}">
  <dimension ref="A1:I38"/>
  <sheetViews>
    <sheetView zoomScale="130" zoomScaleNormal="130" workbookViewId="0">
      <selection activeCell="K23" sqref="K23"/>
    </sheetView>
  </sheetViews>
  <sheetFormatPr defaultRowHeight="15" x14ac:dyDescent="0.25"/>
  <cols>
    <col min="1" max="1" width="4.5703125" customWidth="1"/>
    <col min="2" max="2" width="36.7109375" customWidth="1"/>
    <col min="3" max="3" width="7.7109375" customWidth="1"/>
    <col min="4" max="4" width="6.5703125" customWidth="1"/>
    <col min="5" max="5" width="6.140625" customWidth="1"/>
    <col min="6" max="6" width="7.28515625" customWidth="1"/>
    <col min="7" max="7" width="7" customWidth="1"/>
    <col min="8" max="8" width="6.42578125" customWidth="1"/>
    <col min="9" max="9" width="7.140625" customWidth="1"/>
  </cols>
  <sheetData>
    <row r="1" spans="1:9" ht="15.75" x14ac:dyDescent="0.25">
      <c r="A1" s="27" t="s">
        <v>66</v>
      </c>
    </row>
    <row r="3" spans="1:9" ht="15.75" x14ac:dyDescent="0.25">
      <c r="C3" s="65" t="s">
        <v>86</v>
      </c>
      <c r="D3" s="65"/>
      <c r="E3" s="65"/>
      <c r="F3" s="65"/>
      <c r="G3" s="65"/>
    </row>
    <row r="4" spans="1:9" ht="16.5" x14ac:dyDescent="0.3">
      <c r="C4" s="28"/>
      <c r="D4" s="28" t="s">
        <v>75</v>
      </c>
      <c r="E4" s="28"/>
      <c r="F4" s="28"/>
      <c r="G4" s="28"/>
    </row>
    <row r="5" spans="1:9" x14ac:dyDescent="0.25">
      <c r="A5" s="1" t="s">
        <v>0</v>
      </c>
      <c r="B5" s="2"/>
      <c r="C5" s="2"/>
      <c r="D5" s="3" t="s">
        <v>1</v>
      </c>
      <c r="E5" s="4"/>
      <c r="F5" s="5"/>
      <c r="G5" s="4"/>
      <c r="H5" s="4"/>
      <c r="I5" s="6"/>
    </row>
    <row r="6" spans="1:9" x14ac:dyDescent="0.25">
      <c r="A6" s="7" t="s">
        <v>2</v>
      </c>
      <c r="B6" s="8" t="s">
        <v>3</v>
      </c>
      <c r="C6" s="9" t="s">
        <v>4</v>
      </c>
      <c r="D6" s="10" t="s">
        <v>5</v>
      </c>
      <c r="E6" s="11"/>
      <c r="F6" s="11"/>
      <c r="G6" s="12" t="s">
        <v>6</v>
      </c>
      <c r="H6" s="11"/>
      <c r="I6" s="11"/>
    </row>
    <row r="7" spans="1:9" x14ac:dyDescent="0.25">
      <c r="A7" s="13" t="s">
        <v>7</v>
      </c>
      <c r="B7" s="14"/>
      <c r="C7" s="14"/>
      <c r="D7" s="13" t="s">
        <v>8</v>
      </c>
      <c r="E7" s="13" t="s">
        <v>9</v>
      </c>
      <c r="F7" s="13" t="s">
        <v>10</v>
      </c>
      <c r="G7" s="13" t="s">
        <v>11</v>
      </c>
      <c r="H7" s="13" t="s">
        <v>9</v>
      </c>
      <c r="I7" s="13" t="s">
        <v>10</v>
      </c>
    </row>
    <row r="8" spans="1:9" x14ac:dyDescent="0.25">
      <c r="A8" s="13">
        <v>0</v>
      </c>
      <c r="B8" s="15" t="s">
        <v>12</v>
      </c>
      <c r="C8" s="16">
        <f>54428+8593+15748+13479+14760+24335+185958</f>
        <v>317301</v>
      </c>
      <c r="D8" s="25">
        <f>4785</f>
        <v>4785</v>
      </c>
      <c r="E8" s="16"/>
      <c r="F8" s="16">
        <f>45515+4586+6775+4610+8674+24335+155788</f>
        <v>250283</v>
      </c>
      <c r="G8" s="16">
        <f>4007+1002+1000+4512</f>
        <v>10521</v>
      </c>
      <c r="H8" s="16">
        <f>4131</f>
        <v>4131</v>
      </c>
      <c r="I8" s="16">
        <f>8913+7971+7869+6086+16742</f>
        <v>47581</v>
      </c>
    </row>
    <row r="9" spans="1:9" x14ac:dyDescent="0.25">
      <c r="A9" s="13" t="s">
        <v>13</v>
      </c>
      <c r="B9" s="17" t="s">
        <v>14</v>
      </c>
      <c r="C9" s="16">
        <f>45515+4586+6775+4610+8674+24335+155522</f>
        <v>250017</v>
      </c>
      <c r="D9" s="25">
        <f>4785</f>
        <v>4785</v>
      </c>
      <c r="E9" s="22"/>
      <c r="F9" s="22">
        <f>45515+4586+6775+4610+8674+24335+150737</f>
        <v>245232</v>
      </c>
      <c r="G9" s="16"/>
      <c r="H9" s="24"/>
      <c r="I9" s="16"/>
    </row>
    <row r="10" spans="1:9" ht="9.75" customHeight="1" x14ac:dyDescent="0.25">
      <c r="A10" s="13" t="s">
        <v>15</v>
      </c>
      <c r="B10" s="18" t="s">
        <v>16</v>
      </c>
      <c r="C10" s="16"/>
      <c r="D10" s="25"/>
      <c r="E10" s="22"/>
      <c r="F10" s="22"/>
      <c r="G10" s="16"/>
      <c r="H10" s="24"/>
      <c r="I10" s="16"/>
    </row>
    <row r="11" spans="1:9" ht="11.25" customHeight="1" x14ac:dyDescent="0.25">
      <c r="A11" s="13" t="s">
        <v>17</v>
      </c>
      <c r="B11" s="17" t="s">
        <v>18</v>
      </c>
      <c r="C11" s="16"/>
      <c r="D11" s="25"/>
      <c r="E11" s="22"/>
      <c r="F11" s="22"/>
      <c r="G11" s="16"/>
      <c r="H11" s="24"/>
      <c r="I11" s="16"/>
    </row>
    <row r="12" spans="1:9" ht="9.75" customHeight="1" x14ac:dyDescent="0.25">
      <c r="A12" s="13" t="s">
        <v>19</v>
      </c>
      <c r="B12" s="19" t="s">
        <v>20</v>
      </c>
      <c r="C12" s="16"/>
      <c r="D12" s="25"/>
      <c r="E12" s="22"/>
      <c r="F12" s="22"/>
      <c r="G12" s="16"/>
      <c r="H12" s="24"/>
      <c r="I12" s="16"/>
    </row>
    <row r="13" spans="1:9" ht="10.5" customHeight="1" x14ac:dyDescent="0.25">
      <c r="A13" s="13" t="s">
        <v>21</v>
      </c>
      <c r="B13" s="17" t="s">
        <v>22</v>
      </c>
      <c r="C13" s="16"/>
      <c r="D13" s="26"/>
      <c r="E13" s="22"/>
      <c r="F13" s="22"/>
      <c r="G13" s="16"/>
      <c r="H13" s="16"/>
      <c r="I13" s="16"/>
    </row>
    <row r="14" spans="1:9" ht="11.25" customHeight="1" x14ac:dyDescent="0.25">
      <c r="A14" s="13" t="s">
        <v>23</v>
      </c>
      <c r="B14" s="17" t="s">
        <v>24</v>
      </c>
      <c r="C14" s="16">
        <f>600</f>
        <v>600</v>
      </c>
      <c r="D14" s="26"/>
      <c r="E14" s="22"/>
      <c r="F14" s="22"/>
      <c r="G14" s="16"/>
      <c r="H14" s="16">
        <f>600</f>
        <v>600</v>
      </c>
      <c r="I14" s="16"/>
    </row>
    <row r="15" spans="1:9" x14ac:dyDescent="0.25">
      <c r="A15" s="13" t="s">
        <v>25</v>
      </c>
      <c r="B15" s="19" t="s">
        <v>26</v>
      </c>
      <c r="C15" s="16">
        <f>1001+4007+1002+1000+3006+4512</f>
        <v>14528</v>
      </c>
      <c r="D15" s="26"/>
      <c r="E15" s="22"/>
      <c r="F15" s="22"/>
      <c r="G15" s="16">
        <f>4007+1002+1000+4512</f>
        <v>10521</v>
      </c>
      <c r="H15" s="16"/>
      <c r="I15" s="16">
        <f>1001+3006</f>
        <v>4007</v>
      </c>
    </row>
    <row r="16" spans="1:9" ht="24" customHeight="1" x14ac:dyDescent="0.25">
      <c r="A16" s="20" t="s">
        <v>27</v>
      </c>
      <c r="B16" s="21" t="s">
        <v>28</v>
      </c>
      <c r="C16" s="22">
        <f>7912+7971+7869+3080+21522</f>
        <v>48354</v>
      </c>
      <c r="D16" s="26"/>
      <c r="E16" s="22"/>
      <c r="F16" s="22">
        <f>1249</f>
        <v>1249</v>
      </c>
      <c r="G16" s="22"/>
      <c r="H16" s="22">
        <f>3531</f>
        <v>3531</v>
      </c>
      <c r="I16" s="22">
        <f>7912+7971+7869+3080+16742</f>
        <v>43574</v>
      </c>
    </row>
    <row r="17" spans="1:9" ht="12.75" customHeight="1" x14ac:dyDescent="0.25">
      <c r="A17" s="20" t="s">
        <v>29</v>
      </c>
      <c r="B17" s="21" t="s">
        <v>30</v>
      </c>
      <c r="C17" s="22"/>
      <c r="D17" s="22"/>
      <c r="E17" s="22"/>
      <c r="F17" s="22"/>
      <c r="G17" s="22"/>
      <c r="H17" s="22"/>
      <c r="I17" s="22"/>
    </row>
    <row r="18" spans="1:9" ht="12" customHeight="1" x14ac:dyDescent="0.25">
      <c r="A18" s="20" t="s">
        <v>31</v>
      </c>
      <c r="B18" s="21" t="s">
        <v>32</v>
      </c>
      <c r="C18" s="22"/>
      <c r="D18" s="22"/>
      <c r="E18" s="22"/>
      <c r="F18" s="22"/>
      <c r="G18" s="22"/>
      <c r="H18" s="22"/>
      <c r="I18" s="22"/>
    </row>
    <row r="19" spans="1:9" ht="21.75" customHeight="1" x14ac:dyDescent="0.25">
      <c r="A19" s="20" t="s">
        <v>33</v>
      </c>
      <c r="B19" s="23" t="s">
        <v>34</v>
      </c>
      <c r="C19" s="22"/>
      <c r="D19" s="22"/>
      <c r="E19" s="22"/>
      <c r="F19" s="22"/>
      <c r="G19" s="22"/>
      <c r="H19" s="22"/>
      <c r="I19" s="22"/>
    </row>
    <row r="20" spans="1:9" ht="12.75" customHeight="1" x14ac:dyDescent="0.25">
      <c r="A20" s="20" t="s">
        <v>35</v>
      </c>
      <c r="B20" s="21" t="s">
        <v>36</v>
      </c>
      <c r="C20" s="22"/>
      <c r="D20" s="22"/>
      <c r="E20" s="22"/>
      <c r="F20" s="22"/>
      <c r="G20" s="22"/>
      <c r="H20" s="22"/>
      <c r="I20" s="22"/>
    </row>
    <row r="21" spans="1:9" ht="11.25" customHeight="1" x14ac:dyDescent="0.25">
      <c r="A21" s="20" t="s">
        <v>37</v>
      </c>
      <c r="B21" s="21" t="s">
        <v>38</v>
      </c>
      <c r="C21" s="22"/>
      <c r="D21" s="22"/>
      <c r="E21" s="22"/>
      <c r="F21" s="22"/>
      <c r="G21" s="22"/>
      <c r="H21" s="22"/>
      <c r="I21" s="22"/>
    </row>
    <row r="22" spans="1:9" ht="9.75" customHeight="1" x14ac:dyDescent="0.25">
      <c r="A22" s="20" t="s">
        <v>39</v>
      </c>
      <c r="B22" s="21" t="s">
        <v>40</v>
      </c>
      <c r="C22" s="22"/>
      <c r="D22" s="22"/>
      <c r="E22" s="22"/>
      <c r="F22" s="22"/>
      <c r="G22" s="22"/>
      <c r="H22" s="22"/>
      <c r="I22" s="22"/>
    </row>
    <row r="23" spans="1:9" ht="12" customHeight="1" x14ac:dyDescent="0.25">
      <c r="A23" s="20" t="s">
        <v>41</v>
      </c>
      <c r="B23" s="21" t="s">
        <v>42</v>
      </c>
      <c r="C23" s="22"/>
      <c r="D23" s="22"/>
      <c r="E23" s="22"/>
      <c r="F23" s="22"/>
      <c r="G23" s="22"/>
      <c r="H23" s="22"/>
      <c r="I23" s="22"/>
    </row>
    <row r="24" spans="1:9" ht="10.5" customHeight="1" x14ac:dyDescent="0.25">
      <c r="A24" s="20" t="s">
        <v>43</v>
      </c>
      <c r="B24" s="21" t="s">
        <v>44</v>
      </c>
      <c r="C24" s="22"/>
      <c r="D24" s="22"/>
      <c r="E24" s="22"/>
      <c r="F24" s="22"/>
      <c r="G24" s="22"/>
      <c r="H24" s="22"/>
      <c r="I24" s="22"/>
    </row>
    <row r="25" spans="1:9" ht="9.75" customHeight="1" x14ac:dyDescent="0.25">
      <c r="A25" s="20" t="s">
        <v>45</v>
      </c>
      <c r="B25" s="21" t="s">
        <v>46</v>
      </c>
      <c r="C25" s="22"/>
      <c r="D25" s="22"/>
      <c r="E25" s="22"/>
      <c r="F25" s="22"/>
      <c r="G25" s="22"/>
      <c r="H25" s="22"/>
      <c r="I25" s="22"/>
    </row>
    <row r="26" spans="1:9" ht="11.25" customHeight="1" x14ac:dyDescent="0.25">
      <c r="A26" s="20" t="s">
        <v>47</v>
      </c>
      <c r="B26" s="21" t="s">
        <v>48</v>
      </c>
      <c r="C26" s="22"/>
      <c r="D26" s="22"/>
      <c r="E26" s="22"/>
      <c r="F26" s="22"/>
      <c r="G26" s="22"/>
      <c r="H26" s="22"/>
      <c r="I26" s="22"/>
    </row>
    <row r="27" spans="1:9" ht="12" customHeight="1" x14ac:dyDescent="0.25">
      <c r="A27" s="20" t="s">
        <v>49</v>
      </c>
      <c r="B27" s="21" t="s">
        <v>50</v>
      </c>
      <c r="C27" s="22">
        <f>3802</f>
        <v>3802</v>
      </c>
      <c r="D27" s="22"/>
      <c r="E27" s="22"/>
      <c r="F27" s="22">
        <f>3802</f>
        <v>3802</v>
      </c>
      <c r="G27" s="22"/>
      <c r="H27" s="22"/>
      <c r="I27" s="22"/>
    </row>
    <row r="28" spans="1:9" ht="12" customHeight="1" x14ac:dyDescent="0.25">
      <c r="A28" s="13" t="s">
        <v>51</v>
      </c>
      <c r="B28" s="17" t="s">
        <v>52</v>
      </c>
      <c r="C28" s="16"/>
      <c r="D28" s="16"/>
      <c r="E28" s="16"/>
      <c r="F28" s="16"/>
      <c r="G28" s="16"/>
      <c r="H28" s="16"/>
      <c r="I28" s="16"/>
    </row>
    <row r="29" spans="1:9" ht="11.25" customHeight="1" x14ac:dyDescent="0.25">
      <c r="A29" s="13" t="s">
        <v>53</v>
      </c>
      <c r="B29" s="17" t="s">
        <v>54</v>
      </c>
      <c r="C29" s="16"/>
      <c r="D29" s="16"/>
      <c r="E29" s="16"/>
      <c r="F29" s="16"/>
      <c r="G29" s="16"/>
      <c r="H29" s="16"/>
      <c r="I29" s="16"/>
    </row>
    <row r="30" spans="1:9" ht="10.5" customHeight="1" x14ac:dyDescent="0.25">
      <c r="A30" s="13" t="s">
        <v>55</v>
      </c>
      <c r="B30" s="17" t="s">
        <v>56</v>
      </c>
      <c r="C30" s="16"/>
      <c r="D30" s="16"/>
      <c r="E30" s="16"/>
      <c r="F30" s="16"/>
      <c r="G30" s="16"/>
      <c r="H30" s="16"/>
      <c r="I30" s="16"/>
    </row>
    <row r="31" spans="1:9" ht="11.25" customHeight="1" x14ac:dyDescent="0.25">
      <c r="A31" s="13" t="s">
        <v>57</v>
      </c>
      <c r="B31" s="19" t="s">
        <v>58</v>
      </c>
      <c r="C31" s="16"/>
      <c r="D31" s="16"/>
      <c r="E31" s="16"/>
      <c r="F31" s="16"/>
      <c r="G31" s="16"/>
      <c r="H31" s="16"/>
      <c r="I31" s="16"/>
    </row>
    <row r="32" spans="1:9" ht="12" customHeight="1" x14ac:dyDescent="0.25">
      <c r="A32" s="13" t="s">
        <v>59</v>
      </c>
      <c r="B32" s="17" t="s">
        <v>60</v>
      </c>
      <c r="C32" s="16"/>
      <c r="D32" s="16"/>
      <c r="E32" s="16"/>
      <c r="F32" s="16"/>
      <c r="G32" s="16"/>
      <c r="H32" s="16"/>
      <c r="I32" s="16"/>
    </row>
    <row r="33" spans="1:9" ht="11.25" customHeight="1" x14ac:dyDescent="0.25">
      <c r="A33" s="13" t="s">
        <v>61</v>
      </c>
      <c r="B33" s="17" t="s">
        <v>62</v>
      </c>
      <c r="C33" s="16"/>
      <c r="D33" s="16"/>
      <c r="E33" s="16"/>
      <c r="F33" s="16"/>
      <c r="G33" s="16"/>
      <c r="H33" s="16"/>
      <c r="I33" s="16"/>
    </row>
    <row r="35" spans="1:9" x14ac:dyDescent="0.25">
      <c r="B35" s="29" t="s">
        <v>63</v>
      </c>
      <c r="C35" s="30">
        <f>C37+C38</f>
        <v>251</v>
      </c>
    </row>
    <row r="36" spans="1:9" x14ac:dyDescent="0.25">
      <c r="B36" s="31" t="s">
        <v>1</v>
      </c>
      <c r="C36" s="29"/>
    </row>
    <row r="37" spans="1:9" x14ac:dyDescent="0.25">
      <c r="B37" s="31" t="s">
        <v>64</v>
      </c>
      <c r="C37" s="30">
        <f>33+8+6+11+7+11+134</f>
        <v>210</v>
      </c>
    </row>
    <row r="38" spans="1:9" x14ac:dyDescent="0.25">
      <c r="B38" s="31" t="s">
        <v>65</v>
      </c>
      <c r="C38" s="30">
        <f>7+4+3+2+1+24</f>
        <v>41</v>
      </c>
    </row>
  </sheetData>
  <mergeCells count="1">
    <mergeCell ref="C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MOLDOVA VECHE 2024</vt:lpstr>
      <vt:lpstr>ORSOVA 2024</vt:lpstr>
      <vt:lpstr>SEVERIN 2024</vt:lpstr>
      <vt:lpstr>CALAFAT 2024</vt:lpstr>
      <vt:lpstr>RAST 2024</vt:lpstr>
      <vt:lpstr>BECHET 2024</vt:lpstr>
      <vt:lpstr>CORABIA 2024</vt:lpstr>
      <vt:lpstr>GIURGIU 2024</vt:lpstr>
      <vt:lpstr>OLTENITA 2024</vt:lpstr>
      <vt:lpstr>CHICIU 2024</vt:lpstr>
      <vt:lpstr>CALARASI COMERCIAL 2024</vt:lpstr>
      <vt:lpstr>CALARASI INDUSTRIAL 2024</vt:lpstr>
      <vt:lpstr>CERNAVODA 2024</vt:lpstr>
      <vt:lpstr>TOTAL APDF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2025-08-13T10:12:09Z</cp:lastPrinted>
  <dcterms:created xsi:type="dcterms:W3CDTF">2025-08-07T09:55:00Z</dcterms:created>
  <dcterms:modified xsi:type="dcterms:W3CDTF">2025-08-19T08:09:16Z</dcterms:modified>
</cp:coreProperties>
</file>