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xr:revisionPtr revIDLastSave="0" documentId="8_{8B26EB20-B8B8-4A13-B971-A1AE5EEE3677}" xr6:coauthVersionLast="47" xr6:coauthVersionMax="47" xr10:uidLastSave="{00000000-0000-0000-0000-000000000000}"/>
  <bookViews>
    <workbookView xWindow="-120" yWindow="-120" windowWidth="29040" windowHeight="15840" firstSheet="5" activeTab="12" xr2:uid="{893A0371-BE61-4E07-966C-8FC30A46A5C5}"/>
  </bookViews>
  <sheets>
    <sheet name="Moldova Veche 2022" sheetId="6" r:id="rId1"/>
    <sheet name="Orsova 2022" sheetId="1" r:id="rId2"/>
    <sheet name="Severin 2022" sheetId="7" r:id="rId3"/>
    <sheet name="Calafat 2022" sheetId="3" r:id="rId4"/>
    <sheet name="Bechet 2022" sheetId="2" r:id="rId5"/>
    <sheet name="Corabia 2022" sheetId="8" r:id="rId6"/>
    <sheet name="Giurgiu 2022" sheetId="9" r:id="rId7"/>
    <sheet name="Oltenita 2022" sheetId="10" r:id="rId8"/>
    <sheet name="Chiciu 2022" sheetId="11" r:id="rId9"/>
    <sheet name="Calarasi Com 2022" sheetId="4" r:id="rId10"/>
    <sheet name="Calarasi Ind 2022" sheetId="5" r:id="rId11"/>
    <sheet name="Cernavoda 2022" sheetId="12" r:id="rId12"/>
    <sheet name="Total marfa an 2022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3" l="1"/>
  <c r="C37" i="13"/>
  <c r="C35" i="13"/>
  <c r="I31" i="13"/>
  <c r="D31" i="13"/>
  <c r="C31" i="13"/>
  <c r="G30" i="13"/>
  <c r="C30" i="13"/>
  <c r="G29" i="13"/>
  <c r="C29" i="13"/>
  <c r="I28" i="13"/>
  <c r="G28" i="13"/>
  <c r="E28" i="13"/>
  <c r="C28" i="13"/>
  <c r="I25" i="13"/>
  <c r="G25" i="13"/>
  <c r="F25" i="13"/>
  <c r="C25" i="13"/>
  <c r="I24" i="13"/>
  <c r="G24" i="13"/>
  <c r="C24" i="13"/>
  <c r="I22" i="13"/>
  <c r="G22" i="13"/>
  <c r="D22" i="13"/>
  <c r="C22" i="13"/>
  <c r="I21" i="13"/>
  <c r="G21" i="13"/>
  <c r="C21" i="13"/>
  <c r="G20" i="13"/>
  <c r="D20" i="13"/>
  <c r="C20" i="13"/>
  <c r="G17" i="13"/>
  <c r="C17" i="13"/>
  <c r="F16" i="13"/>
  <c r="D16" i="13"/>
  <c r="C16" i="13"/>
  <c r="I15" i="13"/>
  <c r="H15" i="13"/>
  <c r="G15" i="13"/>
  <c r="F15" i="13"/>
  <c r="C15" i="13"/>
  <c r="I14" i="13"/>
  <c r="H14" i="13"/>
  <c r="G14" i="13"/>
  <c r="F14" i="13"/>
  <c r="D14" i="13"/>
  <c r="C14" i="13"/>
  <c r="I13" i="13"/>
  <c r="H13" i="13"/>
  <c r="G13" i="13"/>
  <c r="F13" i="13"/>
  <c r="C13" i="13"/>
  <c r="F12" i="13"/>
  <c r="D12" i="13"/>
  <c r="C12" i="13"/>
  <c r="C32" i="13" s="1"/>
  <c r="C34" i="13" s="1"/>
  <c r="I8" i="13"/>
  <c r="G8" i="13"/>
  <c r="F8" i="13"/>
  <c r="E8" i="13"/>
  <c r="D8" i="13"/>
  <c r="C8" i="13"/>
  <c r="I7" i="13"/>
  <c r="H7" i="13"/>
  <c r="G7" i="13"/>
  <c r="F7" i="13"/>
  <c r="E7" i="13"/>
  <c r="C33" i="13" s="1"/>
  <c r="D7" i="13"/>
  <c r="C7" i="13"/>
  <c r="C38" i="12"/>
  <c r="C37" i="12"/>
  <c r="C35" i="12"/>
  <c r="C33" i="12"/>
  <c r="I15" i="12"/>
  <c r="C15" i="12"/>
  <c r="I13" i="12"/>
  <c r="C13" i="12"/>
  <c r="C32" i="12" s="1"/>
  <c r="C34" i="12" s="1"/>
  <c r="I7" i="12"/>
  <c r="C7" i="12"/>
  <c r="H15" i="11" l="1"/>
  <c r="C15" i="11"/>
  <c r="H14" i="11"/>
  <c r="C14" i="11"/>
  <c r="H13" i="11"/>
  <c r="C13" i="11"/>
  <c r="E8" i="11"/>
  <c r="C8" i="11"/>
  <c r="C32" i="11" s="1"/>
  <c r="H7" i="11"/>
  <c r="E7" i="11"/>
  <c r="C33" i="11" s="1"/>
  <c r="C7" i="11"/>
  <c r="C34" i="11" l="1"/>
  <c r="C38" i="10" l="1"/>
  <c r="C37" i="10"/>
  <c r="C35" i="10"/>
  <c r="C33" i="10"/>
  <c r="F25" i="10"/>
  <c r="C25" i="10"/>
  <c r="I15" i="10"/>
  <c r="C15" i="10"/>
  <c r="G14" i="10"/>
  <c r="F14" i="10"/>
  <c r="C14" i="10"/>
  <c r="G8" i="10"/>
  <c r="F8" i="10"/>
  <c r="E8" i="10"/>
  <c r="C8" i="10"/>
  <c r="C32" i="10" s="1"/>
  <c r="C34" i="10" s="1"/>
  <c r="I7" i="10"/>
  <c r="G7" i="10"/>
  <c r="F7" i="10"/>
  <c r="E7" i="10"/>
  <c r="C7" i="10"/>
  <c r="C38" i="9" l="1"/>
  <c r="C37" i="9"/>
  <c r="C35" i="9"/>
  <c r="D31" i="9"/>
  <c r="C31" i="9"/>
  <c r="G30" i="9"/>
  <c r="C30" i="9"/>
  <c r="G29" i="9"/>
  <c r="C29" i="9"/>
  <c r="I28" i="9"/>
  <c r="G28" i="9"/>
  <c r="E28" i="9"/>
  <c r="C28" i="9"/>
  <c r="I25" i="9"/>
  <c r="G25" i="9"/>
  <c r="C25" i="9"/>
  <c r="I24" i="9"/>
  <c r="G24" i="9"/>
  <c r="C24" i="9"/>
  <c r="I22" i="9"/>
  <c r="G22" i="9"/>
  <c r="C22" i="9"/>
  <c r="I21" i="9"/>
  <c r="G21" i="9"/>
  <c r="C21" i="9"/>
  <c r="I15" i="9"/>
  <c r="F15" i="9"/>
  <c r="C15" i="9"/>
  <c r="I14" i="9"/>
  <c r="G14" i="9"/>
  <c r="F14" i="9"/>
  <c r="D14" i="9"/>
  <c r="C14" i="9"/>
  <c r="F12" i="9"/>
  <c r="D12" i="9"/>
  <c r="C12" i="9"/>
  <c r="I8" i="9"/>
  <c r="G8" i="9"/>
  <c r="F8" i="9"/>
  <c r="D8" i="9"/>
  <c r="C8" i="9"/>
  <c r="C32" i="9" s="1"/>
  <c r="I7" i="9"/>
  <c r="G7" i="9"/>
  <c r="F7" i="9"/>
  <c r="E7" i="9"/>
  <c r="C33" i="9" s="1"/>
  <c r="D7" i="9"/>
  <c r="C7" i="9"/>
  <c r="C34" i="9" l="1"/>
  <c r="C38" i="8" l="1"/>
  <c r="C37" i="8"/>
  <c r="C35" i="8"/>
  <c r="C33" i="8"/>
  <c r="C32" i="8"/>
  <c r="C34" i="8" s="1"/>
  <c r="F13" i="8"/>
  <c r="C13" i="8"/>
  <c r="F8" i="8"/>
  <c r="D8" i="8"/>
  <c r="C8" i="8"/>
  <c r="F7" i="8"/>
  <c r="D7" i="8"/>
  <c r="C7" i="8"/>
  <c r="C38" i="7" l="1"/>
  <c r="C37" i="7"/>
  <c r="C35" i="7"/>
  <c r="I34" i="7"/>
  <c r="G29" i="7"/>
  <c r="C29" i="7"/>
  <c r="G26" i="7"/>
  <c r="C26" i="7"/>
  <c r="G23" i="7"/>
  <c r="D23" i="7"/>
  <c r="C23" i="7"/>
  <c r="G21" i="7"/>
  <c r="D21" i="7"/>
  <c r="C21" i="7"/>
  <c r="F17" i="7"/>
  <c r="F34" i="7" s="1"/>
  <c r="D17" i="7"/>
  <c r="C17" i="7"/>
  <c r="C34" i="7" s="1"/>
  <c r="G16" i="7"/>
  <c r="C16" i="7"/>
  <c r="G15" i="7"/>
  <c r="G34" i="7" s="1"/>
  <c r="D15" i="7"/>
  <c r="D34" i="7" s="1"/>
  <c r="C15" i="7"/>
  <c r="G8" i="7"/>
  <c r="F8" i="7"/>
  <c r="D8" i="7"/>
  <c r="C8" i="7"/>
  <c r="C38" i="6" l="1"/>
  <c r="C37" i="6"/>
  <c r="C35" i="6"/>
  <c r="C33" i="6"/>
  <c r="F12" i="6"/>
  <c r="D12" i="6"/>
  <c r="C12" i="6"/>
  <c r="F8" i="6"/>
  <c r="D8" i="6"/>
  <c r="C8" i="6"/>
  <c r="C32" i="6" s="1"/>
  <c r="C34" i="6" s="1"/>
  <c r="F7" i="6"/>
  <c r="D7" i="6"/>
  <c r="C7" i="6"/>
  <c r="C38" i="5" l="1"/>
  <c r="C33" i="5"/>
  <c r="C32" i="5"/>
  <c r="C34" i="5" s="1"/>
  <c r="H15" i="5"/>
  <c r="C15" i="5"/>
  <c r="H7" i="5"/>
  <c r="C7" i="5"/>
  <c r="C38" i="4" l="1"/>
  <c r="C37" i="4"/>
  <c r="C35" i="4"/>
  <c r="H15" i="4"/>
  <c r="C15" i="4"/>
  <c r="H13" i="4"/>
  <c r="C13" i="4"/>
  <c r="C32" i="4" s="1"/>
  <c r="H7" i="4"/>
  <c r="C33" i="4" s="1"/>
  <c r="C7" i="4"/>
  <c r="C34" i="4" l="1"/>
  <c r="C39" i="3" l="1"/>
  <c r="C38" i="3"/>
  <c r="C36" i="3"/>
  <c r="C33" i="3"/>
  <c r="I14" i="3"/>
  <c r="G14" i="3"/>
  <c r="C14" i="3"/>
  <c r="G8" i="3"/>
  <c r="F8" i="3"/>
  <c r="D8" i="3"/>
  <c r="C8" i="3"/>
  <c r="C32" i="3" s="1"/>
  <c r="C34" i="3" s="1"/>
  <c r="I7" i="3"/>
  <c r="G7" i="3"/>
  <c r="F7" i="3"/>
  <c r="D7" i="3"/>
  <c r="C7" i="3"/>
  <c r="C38" i="2" l="1"/>
  <c r="C37" i="2"/>
  <c r="C35" i="2"/>
  <c r="C33" i="2"/>
  <c r="C32" i="2"/>
  <c r="C34" i="2" s="1"/>
  <c r="I14" i="2"/>
  <c r="G14" i="2"/>
  <c r="C14" i="2"/>
  <c r="F8" i="2"/>
  <c r="D8" i="2"/>
  <c r="C8" i="2"/>
  <c r="I7" i="2"/>
  <c r="G7" i="2"/>
  <c r="F7" i="2"/>
  <c r="D7" i="2"/>
  <c r="C7" i="2"/>
  <c r="C38" i="1" l="1"/>
  <c r="C37" i="1"/>
  <c r="C35" i="1"/>
  <c r="C33" i="1"/>
  <c r="I30" i="1"/>
  <c r="C30" i="1"/>
  <c r="I27" i="1"/>
  <c r="F27" i="1"/>
  <c r="C27" i="1"/>
  <c r="G20" i="1"/>
  <c r="D20" i="1"/>
  <c r="C20" i="1"/>
  <c r="G17" i="1"/>
  <c r="C17" i="1"/>
  <c r="F16" i="1"/>
  <c r="C16" i="1"/>
  <c r="G15" i="1"/>
  <c r="C15" i="1"/>
  <c r="G14" i="1"/>
  <c r="C14" i="1"/>
  <c r="C32" i="1" s="1"/>
  <c r="C34" i="1" s="1"/>
  <c r="I7" i="1"/>
  <c r="G7" i="1"/>
  <c r="F7" i="1"/>
  <c r="D7" i="1"/>
  <c r="C7" i="1"/>
</calcChain>
</file>

<file path=xl/sharedStrings.xml><?xml version="1.0" encoding="utf-8"?>
<sst xmlns="http://schemas.openxmlformats.org/spreadsheetml/2006/main" count="975" uniqueCount="86">
  <si>
    <t>ADMINISTRATIA PORTURILOR DUNARII FLUVIALE GIURGIU</t>
  </si>
  <si>
    <t>TRAFIC MARFA ORSOVA IANUARIE - DECEMBRIE 2022</t>
  </si>
  <si>
    <t>TRAFIC FLUVIAL DE MĂRFURI</t>
  </si>
  <si>
    <t>Nr.</t>
  </si>
  <si>
    <t>din care:</t>
  </si>
  <si>
    <t/>
  </si>
  <si>
    <t>Grupa de mărfuri</t>
  </si>
  <si>
    <t>Total</t>
  </si>
  <si>
    <t>Incărcări</t>
  </si>
  <si>
    <t>Descărcări</t>
  </si>
  <si>
    <t>crt.</t>
  </si>
  <si>
    <t>Export</t>
  </si>
  <si>
    <t>Tranzit</t>
  </si>
  <si>
    <t>Cabotaj</t>
  </si>
  <si>
    <t>Import</t>
  </si>
  <si>
    <t>Total (1+2+...+25)</t>
  </si>
  <si>
    <t>1.</t>
  </si>
  <si>
    <t>Cereale</t>
  </si>
  <si>
    <t>2.</t>
  </si>
  <si>
    <t>Fructe şi legume proaspete</t>
  </si>
  <si>
    <t>3.</t>
  </si>
  <si>
    <t>Animale vii, sfeclă de zahăr</t>
  </si>
  <si>
    <t>4.</t>
  </si>
  <si>
    <t>Produse alimentare, băuturi, tutun şi nutreţuri animale</t>
  </si>
  <si>
    <t>5.</t>
  </si>
  <si>
    <t>Seminţe (nuci) oleaginoase, uleiuri şi grăsimi</t>
  </si>
  <si>
    <t>6.</t>
  </si>
  <si>
    <t>Lemn, lemn de foc</t>
  </si>
  <si>
    <t>7.</t>
  </si>
  <si>
    <t>Îngrăşăminte (naturale şi chimice)</t>
  </si>
  <si>
    <t>8.</t>
  </si>
  <si>
    <t>Produse minerale brute (de carieră şi balastieră, ipsos, sulfuri, zgură, cretă, sare etc.)</t>
  </si>
  <si>
    <t>9.</t>
  </si>
  <si>
    <t>Minereuri de fier, fier vechi</t>
  </si>
  <si>
    <t>10.</t>
  </si>
  <si>
    <t>Minereuri neferoase</t>
  </si>
  <si>
    <t>11.</t>
  </si>
  <si>
    <t>Textile, produse sintetice şi artificiale; alte materii brute de origine animală sau vegetală (piei, blănuri, cauciuc)</t>
  </si>
  <si>
    <t>12.</t>
  </si>
  <si>
    <t>Pastă şi deşeuri de hârtie</t>
  </si>
  <si>
    <t>13.</t>
  </si>
  <si>
    <t>Combustibili solizi (cărbuni, cocs etc.)</t>
  </si>
  <si>
    <t>14.</t>
  </si>
  <si>
    <t>Petrol brut</t>
  </si>
  <si>
    <t>15.</t>
  </si>
  <si>
    <t>Produse petroliere şi gaz</t>
  </si>
  <si>
    <t>16.</t>
  </si>
  <si>
    <t>Gudroane derivate din cărbuni şi gaze naturale</t>
  </si>
  <si>
    <t>17.</t>
  </si>
  <si>
    <t>Produse chimice</t>
  </si>
  <si>
    <t>18.</t>
  </si>
  <si>
    <t>Var, ciment, materiale de construcţii fabricate</t>
  </si>
  <si>
    <t>19.</t>
  </si>
  <si>
    <t>Sticlă, sticlărie, produse ceramice</t>
  </si>
  <si>
    <t>20.</t>
  </si>
  <si>
    <t>Metale (feroase şi neferoase)</t>
  </si>
  <si>
    <t>21.</t>
  </si>
  <si>
    <t>Articole fabricate din metal</t>
  </si>
  <si>
    <t>22.</t>
  </si>
  <si>
    <t>Maşini, material de transport</t>
  </si>
  <si>
    <t>23.</t>
  </si>
  <si>
    <t>Diverse articole (ţesături, confecţii, încălţăminte, mobilă)</t>
  </si>
  <si>
    <t>24.</t>
  </si>
  <si>
    <t>Alte produse</t>
  </si>
  <si>
    <t>Total cantitate de marfa</t>
  </si>
  <si>
    <t>Intocmit</t>
  </si>
  <si>
    <t>Cantitatea de marfa in tranzit</t>
  </si>
  <si>
    <t>Gheorman Marius</t>
  </si>
  <si>
    <t>Cantitatea de marfa operata total porturi</t>
  </si>
  <si>
    <t>Total Nave Operate:</t>
  </si>
  <si>
    <t>româneşti:</t>
  </si>
  <si>
    <t>străine:</t>
  </si>
  <si>
    <t>TRAFIC MARFA BECHET  IANUARIE - DECEMBRIE 2022</t>
  </si>
  <si>
    <r>
      <t>TRAFIC MARFA CALAFAT IANUARIE - DECEMBRIE 2022</t>
    </r>
    <r>
      <rPr>
        <b/>
        <sz val="12"/>
        <color rgb="FFFF0000"/>
        <rFont val="Arial Narrow"/>
        <family val="2"/>
      </rPr>
      <t xml:space="preserve"> </t>
    </r>
  </si>
  <si>
    <t>TRAFIC MARFA CALARASI COMERCIAL  IANUARIE - DECEMBRIE  2022</t>
  </si>
  <si>
    <t>TRAFIC MARFA CALARASI INDUSTRIAL IANUARIE - DECEMBRIE 2022</t>
  </si>
  <si>
    <t>TRAFIC MARFA MOLDOVA VECHE IANUARIE - DECEMBRIE  2022</t>
  </si>
  <si>
    <r>
      <t>TRAFIC MARFA DR TR SEVERIN IANUARIE-DECEMBRIE 2022</t>
    </r>
    <r>
      <rPr>
        <b/>
        <sz val="9"/>
        <color rgb="FFFF0000"/>
        <rFont val="Arial Narrow"/>
        <family val="2"/>
      </rPr>
      <t xml:space="preserve"> </t>
    </r>
  </si>
  <si>
    <t>25.</t>
  </si>
  <si>
    <t>Containere</t>
  </si>
  <si>
    <t>TRAFIC MARFA CORABIA IANUARIE - DECEMBRIE 2022</t>
  </si>
  <si>
    <t>TRAFIC MARFA GIURGIU IANUARIE - DECEMBRIE 2022</t>
  </si>
  <si>
    <t>TRAFIC MARFA OLTENITA IANUARIE - DECEMBRIE 2022</t>
  </si>
  <si>
    <t>TRAFIC MARFA CHICIU IANUARIE - DECEMBRIE 2022</t>
  </si>
  <si>
    <t>TRAFIC MARFA CERNAVODA IANUARIE - DECEMBRIE  2022</t>
  </si>
  <si>
    <t xml:space="preserve">TRAFIC MARFA TOTAL  GENERAL 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</si>
</sst>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name val="Times New Roman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9"/>
      <color rgb="FFFF0000"/>
      <name val="Arial Narrow"/>
      <family val="2"/>
    </font>
    <font>
      <b/>
      <sz val="10"/>
      <name val="Arial Narrow"/>
      <family val="2"/>
    </font>
    <font>
      <sz val="12"/>
      <color theme="1"/>
      <name val="Arial Narrow"/>
      <family val="2"/>
    </font>
    <font>
      <b/>
      <sz val="12"/>
      <color rgb="FFFF0000"/>
      <name val="Arial Narrow"/>
      <family val="2"/>
    </font>
    <font>
      <sz val="10"/>
      <name val="Arial Narrow"/>
      <family val="2"/>
    </font>
    <font>
      <sz val="9"/>
      <color theme="0"/>
      <name val="Arial Narrow"/>
      <family val="2"/>
    </font>
    <font>
      <b/>
      <sz val="9"/>
      <color rgb="FFFF0000"/>
      <name val="Arial Narrow"/>
      <family val="2"/>
    </font>
    <font>
      <b/>
      <sz val="9"/>
      <color theme="0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protection locked="0"/>
    </xf>
  </cellStyleXfs>
  <cellXfs count="92">
    <xf numFmtId="0" fontId="0" fillId="0" borderId="0" xfId="0"/>
    <xf numFmtId="0" fontId="2" fillId="0" borderId="0" xfId="1" quotePrefix="1" applyFont="1" applyAlignment="1">
      <alignment horizontal="left"/>
      <protection locked="0"/>
    </xf>
    <xf numFmtId="0" fontId="2" fillId="0" borderId="0" xfId="1" applyFont="1" applyAlignment="1">
      <alignment horizontal="left" vertical="center"/>
      <protection locked="0"/>
    </xf>
    <xf numFmtId="0" fontId="3" fillId="0" borderId="0" xfId="1" applyFont="1" applyAlignment="1">
      <alignment horizontal="left" vertical="center"/>
      <protection locked="0"/>
    </xf>
    <xf numFmtId="0" fontId="2" fillId="0" borderId="0" xfId="1" applyFont="1" applyAlignment="1">
      <alignment horizontal="center"/>
      <protection locked="0"/>
    </xf>
    <xf numFmtId="0" fontId="2" fillId="0" borderId="0" xfId="1" applyFont="1" applyAlignment="1">
      <alignment horizontal="left"/>
      <protection locked="0"/>
    </xf>
    <xf numFmtId="0" fontId="2" fillId="2" borderId="0" xfId="1" applyFont="1" applyFill="1" applyAlignment="1">
      <alignment horizontal="centerContinuous"/>
      <protection locked="0"/>
    </xf>
    <xf numFmtId="0" fontId="4" fillId="2" borderId="1" xfId="1" applyFont="1" applyFill="1" applyBorder="1" applyAlignment="1">
      <alignment horizontal="center"/>
      <protection locked="0"/>
    </xf>
    <xf numFmtId="0" fontId="4" fillId="2" borderId="1" xfId="1" applyFont="1" applyFill="1" applyBorder="1" applyAlignment="1">
      <alignment horizontal="left" vertical="center"/>
      <protection locked="0"/>
    </xf>
    <xf numFmtId="0" fontId="4" fillId="2" borderId="2" xfId="1" applyFont="1" applyFill="1" applyBorder="1" applyAlignment="1">
      <alignment horizontal="centerContinuous" vertical="center"/>
      <protection locked="0"/>
    </xf>
    <xf numFmtId="0" fontId="4" fillId="2" borderId="3" xfId="1" applyFont="1" applyFill="1" applyBorder="1" applyAlignment="1">
      <alignment horizontal="centerContinuous" vertical="center"/>
      <protection locked="0"/>
    </xf>
    <xf numFmtId="0" fontId="5" fillId="2" borderId="3" xfId="1" applyFont="1" applyFill="1" applyBorder="1" applyAlignment="1">
      <alignment horizontal="centerContinuous" vertical="center"/>
      <protection locked="0"/>
    </xf>
    <xf numFmtId="0" fontId="5" fillId="2" borderId="4" xfId="1" applyFont="1" applyFill="1" applyBorder="1" applyAlignment="1">
      <alignment horizontal="centerContinuous" vertical="center"/>
      <protection locked="0"/>
    </xf>
    <xf numFmtId="0" fontId="4" fillId="2" borderId="5" xfId="1" quotePrefix="1" applyFont="1" applyFill="1" applyBorder="1" applyAlignment="1">
      <alignment horizontal="center"/>
      <protection locked="0"/>
    </xf>
    <xf numFmtId="0" fontId="4" fillId="2" borderId="5" xfId="1" quotePrefix="1" applyFont="1" applyFill="1" applyBorder="1" applyAlignment="1">
      <alignment horizontal="center" vertical="center" wrapText="1"/>
      <protection locked="0"/>
    </xf>
    <xf numFmtId="0" fontId="4" fillId="2" borderId="5" xfId="1" applyFont="1" applyFill="1" applyBorder="1" applyAlignment="1">
      <alignment horizontal="center"/>
      <protection locked="0"/>
    </xf>
    <xf numFmtId="0" fontId="4" fillId="2" borderId="6" xfId="1" quotePrefix="1" applyFont="1" applyFill="1" applyBorder="1" applyAlignment="1">
      <alignment horizontal="centerContinuous" vertical="center"/>
      <protection locked="0"/>
    </xf>
    <xf numFmtId="0" fontId="5" fillId="2" borderId="6" xfId="1" applyFont="1" applyFill="1" applyBorder="1" applyAlignment="1">
      <alignment horizontal="centerContinuous" vertical="center"/>
      <protection locked="0"/>
    </xf>
    <xf numFmtId="0" fontId="4" fillId="2" borderId="6" xfId="1" applyFont="1" applyFill="1" applyBorder="1" applyAlignment="1">
      <alignment horizontal="centerContinuous" vertical="center"/>
      <protection locked="0"/>
    </xf>
    <xf numFmtId="0" fontId="4" fillId="2" borderId="7" xfId="1" applyFont="1" applyFill="1" applyBorder="1" applyAlignment="1">
      <alignment horizontal="center"/>
      <protection locked="0"/>
    </xf>
    <xf numFmtId="0" fontId="5" fillId="2" borderId="7" xfId="1" applyFont="1" applyFill="1" applyBorder="1">
      <protection locked="0"/>
    </xf>
    <xf numFmtId="0" fontId="4" fillId="2" borderId="6" xfId="1" applyFont="1" applyFill="1" applyBorder="1" applyAlignment="1">
      <alignment horizontal="center"/>
      <protection locked="0"/>
    </xf>
    <xf numFmtId="0" fontId="4" fillId="2" borderId="6" xfId="1" quotePrefix="1" applyFont="1" applyFill="1" applyBorder="1" applyAlignment="1">
      <alignment horizontal="center" vertical="center" wrapText="1"/>
      <protection locked="0"/>
    </xf>
    <xf numFmtId="0" fontId="5" fillId="2" borderId="6" xfId="1" quotePrefix="1" applyFont="1" applyFill="1" applyBorder="1">
      <protection locked="0"/>
    </xf>
    <xf numFmtId="0" fontId="5" fillId="2" borderId="6" xfId="1" applyFont="1" applyFill="1" applyBorder="1">
      <protection locked="0"/>
    </xf>
    <xf numFmtId="0" fontId="5" fillId="2" borderId="6" xfId="1" applyFont="1" applyFill="1" applyBorder="1" applyAlignment="1">
      <alignment vertical="center" wrapText="1"/>
      <protection locked="0"/>
    </xf>
    <xf numFmtId="0" fontId="5" fillId="2" borderId="6" xfId="1" quotePrefix="1" applyFont="1" applyFill="1" applyBorder="1" applyAlignment="1">
      <alignment vertical="center" wrapText="1"/>
      <protection locked="0"/>
    </xf>
    <xf numFmtId="0" fontId="5" fillId="2" borderId="6" xfId="1" quotePrefix="1" applyFont="1" applyFill="1" applyBorder="1" applyAlignment="1">
      <alignment horizontal="left" vertical="center" wrapText="1"/>
      <protection locked="0"/>
    </xf>
    <xf numFmtId="0" fontId="6" fillId="2" borderId="6" xfId="0" applyFont="1" applyFill="1" applyBorder="1"/>
    <xf numFmtId="0" fontId="5" fillId="2" borderId="6" xfId="0" applyFont="1" applyFill="1" applyBorder="1"/>
    <xf numFmtId="0" fontId="7" fillId="2" borderId="6" xfId="1" applyFont="1" applyFill="1" applyBorder="1">
      <protection locked="0"/>
    </xf>
    <xf numFmtId="0" fontId="4" fillId="2" borderId="0" xfId="1" applyFont="1" applyFill="1" applyAlignment="1">
      <alignment horizontal="center"/>
      <protection locked="0"/>
    </xf>
    <xf numFmtId="0" fontId="8" fillId="2" borderId="0" xfId="1" applyFont="1" applyFill="1" applyAlignment="1">
      <alignment vertical="center" wrapText="1"/>
      <protection locked="0"/>
    </xf>
    <xf numFmtId="0" fontId="8" fillId="2" borderId="0" xfId="1" applyFont="1" applyFill="1">
      <protection locked="0"/>
    </xf>
    <xf numFmtId="0" fontId="8" fillId="0" borderId="0" xfId="1" applyFont="1">
      <protection locked="0"/>
    </xf>
    <xf numFmtId="0" fontId="4" fillId="0" borderId="0" xfId="1" applyFont="1" applyAlignment="1">
      <alignment horizontal="center"/>
      <protection locked="0"/>
    </xf>
    <xf numFmtId="0" fontId="8" fillId="0" borderId="0" xfId="1" applyFont="1" applyAlignment="1">
      <alignment vertical="center" wrapText="1"/>
      <protection locked="0"/>
    </xf>
    <xf numFmtId="0" fontId="9" fillId="0" borderId="0" xfId="0" applyFont="1"/>
    <xf numFmtId="0" fontId="8" fillId="0" borderId="0" xfId="1" applyFont="1" applyAlignment="1">
      <alignment horizontal="right"/>
      <protection locked="0"/>
    </xf>
    <xf numFmtId="0" fontId="8" fillId="0" borderId="0" xfId="1" quotePrefix="1" applyFont="1" applyAlignment="1">
      <alignment horizontal="right" vertical="center" wrapText="1"/>
      <protection locked="0"/>
    </xf>
    <xf numFmtId="0" fontId="8" fillId="0" borderId="0" xfId="1" applyFont="1" applyAlignment="1">
      <alignment horizontal="center"/>
      <protection locked="0"/>
    </xf>
    <xf numFmtId="0" fontId="4" fillId="2" borderId="0" xfId="1" applyFont="1" applyFill="1" applyAlignment="1">
      <alignment vertical="center" wrapText="1"/>
      <protection locked="0"/>
    </xf>
    <xf numFmtId="0" fontId="4" fillId="2" borderId="0" xfId="1" applyFont="1" applyFill="1">
      <protection locked="0"/>
    </xf>
    <xf numFmtId="0" fontId="4" fillId="0" borderId="0" xfId="1" applyFont="1">
      <protection locked="0"/>
    </xf>
    <xf numFmtId="0" fontId="4" fillId="0" borderId="0" xfId="1" applyFont="1" applyAlignment="1">
      <alignment vertical="center" wrapText="1"/>
      <protection locked="0"/>
    </xf>
    <xf numFmtId="0" fontId="6" fillId="0" borderId="0" xfId="0" applyFont="1"/>
    <xf numFmtId="0" fontId="4" fillId="0" borderId="0" xfId="1" applyFont="1" applyAlignment="1">
      <alignment horizontal="right"/>
      <protection locked="0"/>
    </xf>
    <xf numFmtId="0" fontId="4" fillId="0" borderId="0" xfId="1" quotePrefix="1" applyFont="1" applyAlignment="1">
      <alignment horizontal="right" vertical="center" wrapText="1"/>
      <protection locked="0"/>
    </xf>
    <xf numFmtId="0" fontId="2" fillId="2" borderId="0" xfId="1" quotePrefix="1" applyFont="1" applyFill="1" applyAlignment="1">
      <alignment horizontal="left"/>
      <protection locked="0"/>
    </xf>
    <xf numFmtId="0" fontId="2" fillId="2" borderId="0" xfId="1" applyFont="1" applyFill="1" applyAlignment="1">
      <alignment horizontal="left" vertical="center"/>
      <protection locked="0"/>
    </xf>
    <xf numFmtId="0" fontId="3" fillId="2" borderId="0" xfId="1" applyFont="1" applyFill="1" applyAlignment="1">
      <alignment horizontal="left" vertical="center"/>
      <protection locked="0"/>
    </xf>
    <xf numFmtId="0" fontId="2" fillId="2" borderId="0" xfId="1" applyFont="1" applyFill="1" applyAlignment="1">
      <alignment horizontal="center"/>
      <protection locked="0"/>
    </xf>
    <xf numFmtId="0" fontId="2" fillId="2" borderId="0" xfId="1" applyFont="1" applyFill="1" applyAlignment="1">
      <alignment horizontal="left"/>
      <protection locked="0"/>
    </xf>
    <xf numFmtId="0" fontId="8" fillId="2" borderId="0" xfId="1" applyFont="1" applyFill="1" applyAlignment="1">
      <alignment horizontal="right"/>
      <protection locked="0"/>
    </xf>
    <xf numFmtId="0" fontId="9" fillId="2" borderId="0" xfId="0" applyFont="1" applyFill="1"/>
    <xf numFmtId="0" fontId="8" fillId="2" borderId="0" xfId="1" quotePrefix="1" applyFont="1" applyFill="1" applyAlignment="1">
      <alignment horizontal="right" vertical="center" wrapText="1"/>
      <protection locked="0"/>
    </xf>
    <xf numFmtId="0" fontId="8" fillId="2" borderId="0" xfId="1" applyFont="1" applyFill="1" applyAlignment="1">
      <alignment horizontal="center"/>
      <protection locked="0"/>
    </xf>
    <xf numFmtId="0" fontId="11" fillId="2" borderId="0" xfId="1" applyFont="1" applyFill="1" applyAlignment="1">
      <alignment vertical="center" wrapText="1"/>
      <protection locked="0"/>
    </xf>
    <xf numFmtId="0" fontId="4" fillId="0" borderId="1" xfId="1" applyFont="1" applyBorder="1" applyAlignment="1">
      <alignment horizontal="center"/>
      <protection locked="0"/>
    </xf>
    <xf numFmtId="0" fontId="4" fillId="0" borderId="1" xfId="1" applyFont="1" applyBorder="1" applyAlignment="1">
      <alignment horizontal="left" vertical="center"/>
      <protection locked="0"/>
    </xf>
    <xf numFmtId="0" fontId="4" fillId="0" borderId="2" xfId="1" applyFont="1" applyBorder="1" applyAlignment="1">
      <alignment horizontal="centerContinuous" vertical="center"/>
      <protection locked="0"/>
    </xf>
    <xf numFmtId="0" fontId="4" fillId="0" borderId="3" xfId="1" applyFont="1" applyBorder="1" applyAlignment="1">
      <alignment horizontal="centerContinuous" vertical="center"/>
      <protection locked="0"/>
    </xf>
    <xf numFmtId="0" fontId="5" fillId="0" borderId="3" xfId="1" applyFont="1" applyBorder="1" applyAlignment="1">
      <alignment horizontal="centerContinuous" vertical="center"/>
      <protection locked="0"/>
    </xf>
    <xf numFmtId="0" fontId="5" fillId="0" borderId="4" xfId="1" applyFont="1" applyBorder="1" applyAlignment="1">
      <alignment horizontal="centerContinuous" vertical="center"/>
      <protection locked="0"/>
    </xf>
    <xf numFmtId="0" fontId="4" fillId="0" borderId="0" xfId="1" quotePrefix="1" applyFont="1" applyAlignment="1">
      <alignment horizontal="left"/>
      <protection locked="0"/>
    </xf>
    <xf numFmtId="0" fontId="4" fillId="0" borderId="0" xfId="1" applyFont="1" applyAlignment="1">
      <alignment horizontal="left" vertical="center"/>
      <protection locked="0"/>
    </xf>
    <xf numFmtId="0" fontId="5" fillId="0" borderId="0" xfId="1" applyFont="1" applyAlignment="1">
      <alignment horizontal="left" vertical="center"/>
      <protection locked="0"/>
    </xf>
    <xf numFmtId="0" fontId="4" fillId="0" borderId="0" xfId="1" applyFont="1" applyAlignment="1">
      <alignment horizontal="left"/>
      <protection locked="0"/>
    </xf>
    <xf numFmtId="0" fontId="4" fillId="0" borderId="0" xfId="1" applyFont="1" applyAlignment="1">
      <alignment horizontal="centerContinuous"/>
      <protection locked="0"/>
    </xf>
    <xf numFmtId="0" fontId="4" fillId="2" borderId="0" xfId="1" quotePrefix="1" applyFont="1" applyFill="1" applyAlignment="1">
      <alignment horizontal="left"/>
      <protection locked="0"/>
    </xf>
    <xf numFmtId="0" fontId="4" fillId="2" borderId="0" xfId="1" applyFont="1" applyFill="1" applyAlignment="1">
      <alignment horizontal="left" vertical="center"/>
      <protection locked="0"/>
    </xf>
    <xf numFmtId="0" fontId="5" fillId="2" borderId="0" xfId="1" applyFont="1" applyFill="1" applyAlignment="1">
      <alignment horizontal="left" vertical="center"/>
      <protection locked="0"/>
    </xf>
    <xf numFmtId="0" fontId="12" fillId="2" borderId="0" xfId="1" applyFont="1" applyFill="1" applyAlignment="1">
      <alignment horizontal="left" vertical="center"/>
      <protection locked="0"/>
    </xf>
    <xf numFmtId="0" fontId="4" fillId="2" borderId="0" xfId="1" applyFont="1" applyFill="1" applyAlignment="1">
      <alignment horizontal="left"/>
      <protection locked="0"/>
    </xf>
    <xf numFmtId="0" fontId="4" fillId="2" borderId="0" xfId="1" applyFont="1" applyFill="1" applyAlignment="1">
      <alignment horizontal="centerContinuous"/>
      <protection locked="0"/>
    </xf>
    <xf numFmtId="0" fontId="14" fillId="2" borderId="0" xfId="1" applyFont="1" applyFill="1" applyAlignment="1">
      <alignment horizontal="centerContinuous"/>
      <protection locked="0"/>
    </xf>
    <xf numFmtId="0" fontId="5" fillId="2" borderId="0" xfId="1" applyFont="1" applyFill="1">
      <protection locked="0"/>
    </xf>
    <xf numFmtId="0" fontId="12" fillId="2" borderId="0" xfId="1" applyFont="1" applyFill="1">
      <protection locked="0"/>
    </xf>
    <xf numFmtId="0" fontId="4" fillId="2" borderId="1" xfId="1" quotePrefix="1" applyFont="1" applyFill="1" applyBorder="1" applyAlignment="1">
      <alignment horizontal="centerContinuous" vertical="center"/>
      <protection locked="0"/>
    </xf>
    <xf numFmtId="0" fontId="5" fillId="2" borderId="1" xfId="1" applyFont="1" applyFill="1" applyBorder="1" applyAlignment="1">
      <alignment horizontal="centerContinuous" vertical="center"/>
      <protection locked="0"/>
    </xf>
    <xf numFmtId="0" fontId="4" fillId="2" borderId="1" xfId="1" applyFont="1" applyFill="1" applyBorder="1" applyAlignment="1">
      <alignment horizontal="centerContinuous" vertical="center"/>
      <protection locked="0"/>
    </xf>
    <xf numFmtId="0" fontId="4" fillId="2" borderId="6" xfId="1" applyFont="1" applyFill="1" applyBorder="1">
      <protection locked="0"/>
    </xf>
    <xf numFmtId="0" fontId="4" fillId="2" borderId="6" xfId="1" quotePrefix="1" applyFont="1" applyFill="1" applyBorder="1">
      <protection locked="0"/>
    </xf>
    <xf numFmtId="0" fontId="5" fillId="2" borderId="1" xfId="1" applyFont="1" applyFill="1" applyBorder="1" applyAlignment="1">
      <alignment vertical="center" wrapText="1"/>
      <protection locked="0"/>
    </xf>
    <xf numFmtId="0" fontId="4" fillId="2" borderId="1" xfId="1" applyFont="1" applyFill="1" applyBorder="1">
      <protection locked="0"/>
    </xf>
    <xf numFmtId="0" fontId="4" fillId="2" borderId="0" xfId="1" applyFont="1" applyFill="1" applyAlignment="1">
      <alignment horizontal="right"/>
      <protection locked="0"/>
    </xf>
    <xf numFmtId="0" fontId="4" fillId="2" borderId="0" xfId="1" quotePrefix="1" applyFont="1" applyFill="1" applyAlignment="1">
      <alignment horizontal="right" vertical="center" wrapText="1"/>
      <protection locked="0"/>
    </xf>
    <xf numFmtId="0" fontId="15" fillId="2" borderId="0" xfId="0" applyFont="1" applyFill="1"/>
    <xf numFmtId="0" fontId="16" fillId="2" borderId="0" xfId="0" applyFont="1" applyFill="1"/>
    <xf numFmtId="0" fontId="6" fillId="2" borderId="0" xfId="0" applyFont="1" applyFill="1"/>
    <xf numFmtId="0" fontId="10" fillId="2" borderId="0" xfId="1" applyFont="1" applyFill="1" applyAlignment="1">
      <alignment horizontal="left" vertical="center"/>
      <protection locked="0"/>
    </xf>
    <xf numFmtId="0" fontId="10" fillId="0" borderId="0" xfId="1" applyFont="1" applyAlignment="1">
      <alignment horizontal="left" vertical="center"/>
      <protection locked="0"/>
    </xf>
  </cellXfs>
  <cellStyles count="2">
    <cellStyle name="Normal" xfId="0" builtinId="0"/>
    <cellStyle name="Normal 2" xfId="1" xr:uid="{B42D82E2-2864-49E7-A8EF-47EA2CFB68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60DA-8704-4941-B5C6-11A3632BC26F}">
  <dimension ref="A1:I38"/>
  <sheetViews>
    <sheetView workbookViewId="0">
      <selection activeCell="B20" sqref="B20"/>
    </sheetView>
  </sheetViews>
  <sheetFormatPr defaultRowHeight="15" x14ac:dyDescent="0.25"/>
  <cols>
    <col min="2" max="2" width="61" bestFit="1" customWidth="1"/>
  </cols>
  <sheetData>
    <row r="1" spans="1:9" x14ac:dyDescent="0.25">
      <c r="A1" s="64" t="s">
        <v>0</v>
      </c>
      <c r="B1" s="65"/>
      <c r="C1" s="65"/>
      <c r="D1" s="65"/>
      <c r="E1" s="65"/>
      <c r="F1" s="66"/>
      <c r="G1" s="65"/>
      <c r="H1" s="65"/>
      <c r="I1" s="66"/>
    </row>
    <row r="2" spans="1:9" x14ac:dyDescent="0.25">
      <c r="A2" s="35"/>
      <c r="B2" s="67" t="s">
        <v>76</v>
      </c>
      <c r="C2" s="65"/>
      <c r="D2" s="65"/>
      <c r="E2" s="65"/>
      <c r="F2" s="66"/>
      <c r="G2" s="65"/>
      <c r="H2" s="65"/>
      <c r="I2" s="66"/>
    </row>
    <row r="3" spans="1:9" x14ac:dyDescent="0.25">
      <c r="A3" s="68" t="s">
        <v>2</v>
      </c>
      <c r="B3" s="68"/>
      <c r="C3" s="68"/>
      <c r="D3" s="68"/>
      <c r="E3" s="68"/>
      <c r="F3" s="68"/>
      <c r="G3" s="68"/>
      <c r="H3" s="68"/>
      <c r="I3" s="68"/>
    </row>
    <row r="4" spans="1:9" x14ac:dyDescent="0.25">
      <c r="A4" s="58" t="s">
        <v>3</v>
      </c>
      <c r="B4" s="59"/>
      <c r="C4" s="59"/>
      <c r="D4" s="60" t="s">
        <v>4</v>
      </c>
      <c r="E4" s="61"/>
      <c r="F4" s="62"/>
      <c r="G4" s="61"/>
      <c r="H4" s="61"/>
      <c r="I4" s="63"/>
    </row>
    <row r="5" spans="1:9" x14ac:dyDescent="0.25">
      <c r="A5" s="13" t="s">
        <v>5</v>
      </c>
      <c r="B5" s="14" t="s">
        <v>6</v>
      </c>
      <c r="C5" s="15" t="s">
        <v>7</v>
      </c>
      <c r="D5" s="16" t="s">
        <v>8</v>
      </c>
      <c r="E5" s="17"/>
      <c r="F5" s="17"/>
      <c r="G5" s="18" t="s">
        <v>9</v>
      </c>
      <c r="H5" s="17"/>
      <c r="I5" s="17"/>
    </row>
    <row r="6" spans="1:9" x14ac:dyDescent="0.25">
      <c r="A6" s="19" t="s">
        <v>10</v>
      </c>
      <c r="B6" s="20"/>
      <c r="C6" s="20"/>
      <c r="D6" s="21" t="s">
        <v>11</v>
      </c>
      <c r="E6" s="21" t="s">
        <v>12</v>
      </c>
      <c r="F6" s="21" t="s">
        <v>13</v>
      </c>
      <c r="G6" s="21" t="s">
        <v>14</v>
      </c>
      <c r="H6" s="21" t="s">
        <v>12</v>
      </c>
      <c r="I6" s="21" t="s">
        <v>13</v>
      </c>
    </row>
    <row r="7" spans="1:9" x14ac:dyDescent="0.25">
      <c r="A7" s="21">
        <v>0</v>
      </c>
      <c r="B7" s="22" t="s">
        <v>15</v>
      </c>
      <c r="C7" s="23">
        <f>7317+12254+3865+2035+2843+1031+7935+2149+761</f>
        <v>40190</v>
      </c>
      <c r="D7" s="24">
        <f>7317+1246+1002+761</f>
        <v>10326</v>
      </c>
      <c r="E7" s="24"/>
      <c r="F7" s="24">
        <f>11008+3865+2035+2843+1031+7935+1147</f>
        <v>29864</v>
      </c>
      <c r="G7" s="24"/>
      <c r="H7" s="24"/>
      <c r="I7" s="24"/>
    </row>
    <row r="8" spans="1:9" x14ac:dyDescent="0.25">
      <c r="A8" s="21" t="s">
        <v>16</v>
      </c>
      <c r="B8" s="25" t="s">
        <v>17</v>
      </c>
      <c r="C8" s="24">
        <f>4816+11008+3865+2035+2843+1031+7935</f>
        <v>33533</v>
      </c>
      <c r="D8" s="24">
        <f>4816</f>
        <v>4816</v>
      </c>
      <c r="E8" s="24"/>
      <c r="F8" s="24">
        <f>11008+3865+2035+2843+1031+7935</f>
        <v>28717</v>
      </c>
      <c r="G8" s="24"/>
      <c r="H8" s="24"/>
      <c r="I8" s="24"/>
    </row>
    <row r="9" spans="1:9" x14ac:dyDescent="0.25">
      <c r="A9" s="21" t="s">
        <v>18</v>
      </c>
      <c r="B9" s="26" t="s">
        <v>19</v>
      </c>
      <c r="C9" s="24"/>
      <c r="D9" s="24"/>
      <c r="E9" s="24"/>
      <c r="F9" s="24"/>
      <c r="G9" s="24"/>
      <c r="H9" s="24"/>
      <c r="I9" s="24"/>
    </row>
    <row r="10" spans="1:9" x14ac:dyDescent="0.25">
      <c r="A10" s="21" t="s">
        <v>20</v>
      </c>
      <c r="B10" s="25" t="s">
        <v>21</v>
      </c>
      <c r="C10" s="24"/>
      <c r="D10" s="24"/>
      <c r="E10" s="24"/>
      <c r="F10" s="24"/>
      <c r="G10" s="24"/>
      <c r="H10" s="24"/>
      <c r="I10" s="24"/>
    </row>
    <row r="11" spans="1:9" x14ac:dyDescent="0.25">
      <c r="A11" s="21" t="s">
        <v>22</v>
      </c>
      <c r="B11" s="27" t="s">
        <v>23</v>
      </c>
      <c r="C11" s="24"/>
      <c r="D11" s="24"/>
      <c r="E11" s="24"/>
      <c r="F11" s="24"/>
      <c r="G11" s="24"/>
      <c r="H11" s="24"/>
      <c r="I11" s="24"/>
    </row>
    <row r="12" spans="1:9" x14ac:dyDescent="0.25">
      <c r="A12" s="21" t="s">
        <v>24</v>
      </c>
      <c r="B12" s="25" t="s">
        <v>25</v>
      </c>
      <c r="C12" s="24">
        <f>2501+1246+2149+761</f>
        <v>6657</v>
      </c>
      <c r="D12" s="24">
        <f>2501+1246+1002+761</f>
        <v>5510</v>
      </c>
      <c r="E12" s="24"/>
      <c r="F12" s="24">
        <f>1147</f>
        <v>1147</v>
      </c>
      <c r="G12" s="24"/>
      <c r="H12" s="24"/>
      <c r="I12" s="24"/>
    </row>
    <row r="13" spans="1:9" x14ac:dyDescent="0.25">
      <c r="A13" s="21" t="s">
        <v>26</v>
      </c>
      <c r="B13" s="25" t="s">
        <v>27</v>
      </c>
      <c r="C13" s="24"/>
      <c r="D13" s="24"/>
      <c r="E13" s="24"/>
      <c r="F13" s="24"/>
      <c r="G13" s="24"/>
      <c r="H13" s="24"/>
      <c r="I13" s="24"/>
    </row>
    <row r="14" spans="1:9" x14ac:dyDescent="0.25">
      <c r="A14" s="21" t="s">
        <v>28</v>
      </c>
      <c r="B14" s="27" t="s">
        <v>29</v>
      </c>
      <c r="C14" s="28"/>
      <c r="D14" s="28"/>
      <c r="E14" s="28"/>
      <c r="F14" s="29"/>
      <c r="G14" s="28"/>
      <c r="H14" s="28"/>
      <c r="I14" s="28"/>
    </row>
    <row r="15" spans="1:9" x14ac:dyDescent="0.25">
      <c r="A15" s="21" t="s">
        <v>30</v>
      </c>
      <c r="B15" s="25" t="s">
        <v>31</v>
      </c>
      <c r="C15" s="24"/>
      <c r="D15" s="24"/>
      <c r="E15" s="24"/>
      <c r="F15" s="24"/>
      <c r="G15" s="24"/>
      <c r="H15" s="24"/>
      <c r="I15" s="24"/>
    </row>
    <row r="16" spans="1:9" x14ac:dyDescent="0.25">
      <c r="A16" s="21" t="s">
        <v>32</v>
      </c>
      <c r="B16" s="25" t="s">
        <v>33</v>
      </c>
      <c r="C16" s="24"/>
      <c r="D16" s="24"/>
      <c r="E16" s="24"/>
      <c r="F16" s="24"/>
      <c r="G16" s="24"/>
      <c r="H16" s="24"/>
      <c r="I16" s="24"/>
    </row>
    <row r="17" spans="1:9" x14ac:dyDescent="0.25">
      <c r="A17" s="21" t="s">
        <v>34</v>
      </c>
      <c r="B17" s="25" t="s">
        <v>35</v>
      </c>
      <c r="C17" s="24"/>
      <c r="D17" s="24"/>
      <c r="E17" s="24"/>
      <c r="F17" s="24"/>
      <c r="G17" s="24"/>
      <c r="H17" s="24"/>
      <c r="I17" s="24"/>
    </row>
    <row r="18" spans="1:9" ht="27" x14ac:dyDescent="0.25">
      <c r="A18" s="21" t="s">
        <v>36</v>
      </c>
      <c r="B18" s="27" t="s">
        <v>37</v>
      </c>
      <c r="C18" s="24"/>
      <c r="D18" s="24"/>
      <c r="E18" s="24"/>
      <c r="F18" s="24"/>
      <c r="G18" s="24"/>
      <c r="H18" s="24"/>
      <c r="I18" s="24"/>
    </row>
    <row r="19" spans="1:9" x14ac:dyDescent="0.25">
      <c r="A19" s="21" t="s">
        <v>38</v>
      </c>
      <c r="B19" s="25" t="s">
        <v>39</v>
      </c>
      <c r="C19" s="24"/>
      <c r="D19" s="24"/>
      <c r="E19" s="24"/>
      <c r="F19" s="24"/>
      <c r="G19" s="24"/>
      <c r="H19" s="24"/>
      <c r="I19" s="24"/>
    </row>
    <row r="20" spans="1:9" x14ac:dyDescent="0.25">
      <c r="A20" s="21" t="s">
        <v>40</v>
      </c>
      <c r="B20" s="25" t="s">
        <v>41</v>
      </c>
      <c r="C20" s="24"/>
      <c r="D20" s="24"/>
      <c r="E20" s="24"/>
      <c r="F20" s="24"/>
      <c r="G20" s="24"/>
      <c r="H20" s="24"/>
      <c r="I20" s="24"/>
    </row>
    <row r="21" spans="1:9" x14ac:dyDescent="0.25">
      <c r="A21" s="21" t="s">
        <v>42</v>
      </c>
      <c r="B21" s="25" t="s">
        <v>43</v>
      </c>
      <c r="C21" s="24"/>
      <c r="D21" s="24"/>
      <c r="E21" s="24"/>
      <c r="F21" s="24"/>
      <c r="G21" s="24"/>
      <c r="H21" s="24"/>
      <c r="I21" s="24"/>
    </row>
    <row r="22" spans="1:9" x14ac:dyDescent="0.25">
      <c r="A22" s="21" t="s">
        <v>44</v>
      </c>
      <c r="B22" s="25" t="s">
        <v>45</v>
      </c>
      <c r="C22" s="24"/>
      <c r="D22" s="24"/>
      <c r="E22" s="24"/>
      <c r="F22" s="24"/>
      <c r="G22" s="24"/>
      <c r="H22" s="24"/>
      <c r="I22" s="24"/>
    </row>
    <row r="23" spans="1:9" x14ac:dyDescent="0.25">
      <c r="A23" s="21" t="s">
        <v>46</v>
      </c>
      <c r="B23" s="25" t="s">
        <v>47</v>
      </c>
      <c r="C23" s="24"/>
      <c r="D23" s="24"/>
      <c r="E23" s="24"/>
      <c r="F23" s="24"/>
      <c r="G23" s="24"/>
      <c r="H23" s="24"/>
      <c r="I23" s="24"/>
    </row>
    <row r="24" spans="1:9" x14ac:dyDescent="0.25">
      <c r="A24" s="21" t="s">
        <v>48</v>
      </c>
      <c r="B24" s="25" t="s">
        <v>49</v>
      </c>
      <c r="C24" s="24"/>
      <c r="D24" s="24"/>
      <c r="E24" s="24"/>
      <c r="F24" s="24"/>
      <c r="G24" s="24"/>
      <c r="H24" s="24"/>
      <c r="I24" s="24"/>
    </row>
    <row r="25" spans="1:9" x14ac:dyDescent="0.25">
      <c r="A25" s="21" t="s">
        <v>50</v>
      </c>
      <c r="B25" s="25" t="s">
        <v>51</v>
      </c>
      <c r="C25" s="24"/>
      <c r="D25" s="24"/>
      <c r="E25" s="24"/>
      <c r="F25" s="24"/>
      <c r="G25" s="24"/>
      <c r="H25" s="24"/>
      <c r="I25" s="24"/>
    </row>
    <row r="26" spans="1:9" x14ac:dyDescent="0.25">
      <c r="A26" s="21" t="s">
        <v>52</v>
      </c>
      <c r="B26" s="25" t="s">
        <v>53</v>
      </c>
      <c r="C26" s="24"/>
      <c r="D26" s="24"/>
      <c r="E26" s="24"/>
      <c r="F26" s="30"/>
      <c r="G26" s="24"/>
      <c r="H26" s="24"/>
      <c r="I26" s="24"/>
    </row>
    <row r="27" spans="1:9" x14ac:dyDescent="0.25">
      <c r="A27" s="21" t="s">
        <v>54</v>
      </c>
      <c r="B27" s="25" t="s">
        <v>55</v>
      </c>
      <c r="C27" s="24"/>
      <c r="D27" s="24"/>
      <c r="E27" s="24"/>
      <c r="F27" s="24"/>
      <c r="G27" s="24"/>
      <c r="H27" s="24"/>
      <c r="I27" s="24"/>
    </row>
    <row r="28" spans="1:9" x14ac:dyDescent="0.25">
      <c r="A28" s="21" t="s">
        <v>56</v>
      </c>
      <c r="B28" s="25" t="s">
        <v>57</v>
      </c>
      <c r="C28" s="24"/>
      <c r="D28" s="24"/>
      <c r="E28" s="24"/>
      <c r="F28" s="24"/>
      <c r="G28" s="24"/>
      <c r="H28" s="24"/>
      <c r="I28" s="24"/>
    </row>
    <row r="29" spans="1:9" x14ac:dyDescent="0.25">
      <c r="A29" s="21" t="s">
        <v>58</v>
      </c>
      <c r="B29" s="25" t="s">
        <v>59</v>
      </c>
      <c r="C29" s="24"/>
      <c r="D29" s="24"/>
      <c r="E29" s="24"/>
      <c r="F29" s="24"/>
      <c r="G29" s="24"/>
      <c r="H29" s="24"/>
      <c r="I29" s="24"/>
    </row>
    <row r="30" spans="1:9" x14ac:dyDescent="0.25">
      <c r="A30" s="21" t="s">
        <v>60</v>
      </c>
      <c r="B30" s="27" t="s">
        <v>61</v>
      </c>
      <c r="C30" s="24"/>
      <c r="D30" s="24"/>
      <c r="E30" s="24"/>
      <c r="F30" s="24"/>
      <c r="G30" s="24"/>
      <c r="H30" s="24"/>
      <c r="I30" s="24"/>
    </row>
    <row r="31" spans="1:9" x14ac:dyDescent="0.25">
      <c r="A31" s="21" t="s">
        <v>62</v>
      </c>
      <c r="B31" s="25" t="s">
        <v>63</v>
      </c>
      <c r="C31" s="24"/>
      <c r="D31" s="24"/>
      <c r="E31" s="24"/>
      <c r="F31" s="24"/>
      <c r="G31" s="24"/>
      <c r="H31" s="24"/>
      <c r="I31" s="24"/>
    </row>
    <row r="32" spans="1:9" x14ac:dyDescent="0.25">
      <c r="A32" s="31"/>
      <c r="B32" s="41" t="s">
        <v>64</v>
      </c>
      <c r="C32" s="42">
        <f>SUM(C8:C31)</f>
        <v>40190</v>
      </c>
      <c r="D32" s="42"/>
      <c r="E32" s="42"/>
      <c r="F32" s="42"/>
      <c r="G32" s="42" t="s">
        <v>65</v>
      </c>
      <c r="H32" s="42"/>
      <c r="I32" s="42"/>
    </row>
    <row r="33" spans="1:9" x14ac:dyDescent="0.25">
      <c r="A33" s="35"/>
      <c r="B33" s="44" t="s">
        <v>66</v>
      </c>
      <c r="C33" s="43">
        <f>E7+H7</f>
        <v>0</v>
      </c>
      <c r="D33" s="43"/>
      <c r="E33" s="43"/>
      <c r="F33" s="43"/>
      <c r="G33" s="43" t="s">
        <v>67</v>
      </c>
      <c r="H33" s="43"/>
      <c r="I33" s="43"/>
    </row>
    <row r="34" spans="1:9" x14ac:dyDescent="0.25">
      <c r="A34" s="35"/>
      <c r="B34" s="44" t="s">
        <v>68</v>
      </c>
      <c r="C34" s="43">
        <f>C32-C33</f>
        <v>40190</v>
      </c>
      <c r="D34" s="43"/>
      <c r="E34" s="43"/>
      <c r="F34" s="43"/>
      <c r="G34" s="43"/>
      <c r="H34" s="43"/>
      <c r="I34" s="43"/>
    </row>
    <row r="35" spans="1:9" x14ac:dyDescent="0.25">
      <c r="A35" s="35"/>
      <c r="B35" s="46" t="s">
        <v>69</v>
      </c>
      <c r="C35" s="43">
        <f>8+12+3+4+3+0+1+8+0+4+1</f>
        <v>44</v>
      </c>
      <c r="D35" s="43"/>
      <c r="E35" s="43"/>
      <c r="F35" s="45"/>
      <c r="G35" s="45"/>
      <c r="H35" s="45"/>
      <c r="I35" s="45"/>
    </row>
    <row r="36" spans="1:9" x14ac:dyDescent="0.25">
      <c r="A36" s="35"/>
      <c r="B36" s="47" t="s">
        <v>4</v>
      </c>
      <c r="C36" s="46"/>
      <c r="D36" s="43"/>
      <c r="E36" s="43"/>
      <c r="F36" s="45"/>
      <c r="G36" s="45"/>
      <c r="H36" s="45"/>
      <c r="I36" s="45"/>
    </row>
    <row r="37" spans="1:9" x14ac:dyDescent="0.25">
      <c r="A37" s="35"/>
      <c r="B37" s="47" t="s">
        <v>70</v>
      </c>
      <c r="C37" s="43">
        <f>0+8+1+1+0+0+0+8+0+3+0</f>
        <v>21</v>
      </c>
      <c r="D37" s="45"/>
      <c r="E37" s="45"/>
      <c r="F37" s="45"/>
      <c r="G37" s="45"/>
      <c r="H37" s="45"/>
      <c r="I37" s="45"/>
    </row>
    <row r="38" spans="1:9" x14ac:dyDescent="0.25">
      <c r="A38" s="35"/>
      <c r="B38" s="47" t="s">
        <v>71</v>
      </c>
      <c r="C38" s="43">
        <f>8+4+2+3+3+0+1+0+0+1+1</f>
        <v>23</v>
      </c>
      <c r="D38" s="45"/>
      <c r="E38" s="45"/>
      <c r="F38" s="45"/>
      <c r="G38" s="45"/>
      <c r="H38" s="45"/>
      <c r="I38" s="4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BFC5D-99CA-42B5-9136-435769A33466}">
  <dimension ref="A1:I38"/>
  <sheetViews>
    <sheetView workbookViewId="0">
      <selection activeCell="E37" sqref="E37"/>
    </sheetView>
  </sheetViews>
  <sheetFormatPr defaultRowHeight="15" x14ac:dyDescent="0.25"/>
  <cols>
    <col min="2" max="2" width="66.42578125" bestFit="1" customWidth="1"/>
  </cols>
  <sheetData>
    <row r="1" spans="1:9" ht="15.75" x14ac:dyDescent="0.25">
      <c r="A1" s="48" t="s">
        <v>0</v>
      </c>
      <c r="B1" s="49"/>
      <c r="C1" s="49"/>
      <c r="D1" s="49"/>
      <c r="E1" s="49"/>
      <c r="F1" s="50"/>
      <c r="G1" s="49"/>
      <c r="H1" s="49"/>
      <c r="I1" s="50"/>
    </row>
    <row r="2" spans="1:9" ht="15.75" x14ac:dyDescent="0.25">
      <c r="A2" s="51"/>
      <c r="B2" s="52" t="s">
        <v>74</v>
      </c>
      <c r="C2" s="49"/>
      <c r="D2" s="49"/>
      <c r="E2" s="49"/>
      <c r="F2" s="50"/>
      <c r="G2" s="49"/>
      <c r="H2" s="49"/>
      <c r="I2" s="50"/>
    </row>
    <row r="3" spans="1:9" ht="15.75" x14ac:dyDescent="0.25">
      <c r="A3" s="6" t="s">
        <v>2</v>
      </c>
      <c r="B3" s="6"/>
      <c r="C3" s="6"/>
      <c r="D3" s="6"/>
      <c r="E3" s="6"/>
      <c r="F3" s="6"/>
      <c r="G3" s="6"/>
      <c r="H3" s="6"/>
      <c r="I3" s="6"/>
    </row>
    <row r="4" spans="1:9" x14ac:dyDescent="0.25">
      <c r="A4" s="7" t="s">
        <v>3</v>
      </c>
      <c r="B4" s="8"/>
      <c r="C4" s="8"/>
      <c r="D4" s="9" t="s">
        <v>4</v>
      </c>
      <c r="E4" s="10"/>
      <c r="F4" s="11"/>
      <c r="G4" s="10"/>
      <c r="H4" s="10"/>
      <c r="I4" s="12"/>
    </row>
    <row r="5" spans="1:9" x14ac:dyDescent="0.25">
      <c r="A5" s="13" t="s">
        <v>5</v>
      </c>
      <c r="B5" s="14" t="s">
        <v>6</v>
      </c>
      <c r="C5" s="15" t="s">
        <v>7</v>
      </c>
      <c r="D5" s="16" t="s">
        <v>8</v>
      </c>
      <c r="E5" s="17"/>
      <c r="F5" s="17"/>
      <c r="G5" s="18" t="s">
        <v>9</v>
      </c>
      <c r="H5" s="17"/>
      <c r="I5" s="17"/>
    </row>
    <row r="6" spans="1:9" x14ac:dyDescent="0.25">
      <c r="A6" s="19" t="s">
        <v>10</v>
      </c>
      <c r="B6" s="20"/>
      <c r="C6" s="20"/>
      <c r="D6" s="21" t="s">
        <v>11</v>
      </c>
      <c r="E6" s="21" t="s">
        <v>12</v>
      </c>
      <c r="F6" s="21" t="s">
        <v>13</v>
      </c>
      <c r="G6" s="21" t="s">
        <v>14</v>
      </c>
      <c r="H6" s="21" t="s">
        <v>12</v>
      </c>
      <c r="I6" s="21" t="s">
        <v>13</v>
      </c>
    </row>
    <row r="7" spans="1:9" x14ac:dyDescent="0.25">
      <c r="A7" s="21">
        <v>0</v>
      </c>
      <c r="B7" s="22" t="s">
        <v>15</v>
      </c>
      <c r="C7" s="23">
        <f>6872+1200+4314+10450+7523+4330+435+350+2313+450+8595</f>
        <v>46832</v>
      </c>
      <c r="D7" s="24"/>
      <c r="E7" s="24"/>
      <c r="F7" s="24"/>
      <c r="G7" s="24"/>
      <c r="H7" s="24">
        <f>6872+1200+4314+10450+7523+4330+435+350+2313+450+8595</f>
        <v>46832</v>
      </c>
      <c r="I7" s="24"/>
    </row>
    <row r="8" spans="1:9" x14ac:dyDescent="0.25">
      <c r="A8" s="21" t="s">
        <v>16</v>
      </c>
      <c r="B8" s="25" t="s">
        <v>17</v>
      </c>
      <c r="C8" s="24"/>
      <c r="D8" s="24"/>
      <c r="E8" s="24"/>
      <c r="F8" s="24"/>
      <c r="G8" s="24"/>
      <c r="H8" s="24"/>
      <c r="I8" s="24"/>
    </row>
    <row r="9" spans="1:9" x14ac:dyDescent="0.25">
      <c r="A9" s="21" t="s">
        <v>18</v>
      </c>
      <c r="B9" s="26" t="s">
        <v>19</v>
      </c>
      <c r="C9" s="24"/>
      <c r="D9" s="24"/>
      <c r="E9" s="24"/>
      <c r="F9" s="24"/>
      <c r="G9" s="24"/>
      <c r="H9" s="24"/>
      <c r="I9" s="24"/>
    </row>
    <row r="10" spans="1:9" x14ac:dyDescent="0.25">
      <c r="A10" s="21" t="s">
        <v>20</v>
      </c>
      <c r="B10" s="25" t="s">
        <v>21</v>
      </c>
      <c r="C10" s="24"/>
      <c r="D10" s="24"/>
      <c r="E10" s="24"/>
      <c r="F10" s="24"/>
      <c r="G10" s="24"/>
      <c r="H10" s="24"/>
      <c r="I10" s="24"/>
    </row>
    <row r="11" spans="1:9" x14ac:dyDescent="0.25">
      <c r="A11" s="21" t="s">
        <v>22</v>
      </c>
      <c r="B11" s="27" t="s">
        <v>23</v>
      </c>
      <c r="C11" s="24"/>
      <c r="D11" s="24"/>
      <c r="E11" s="24"/>
      <c r="F11" s="24"/>
      <c r="G11" s="24"/>
      <c r="H11" s="24"/>
      <c r="I11" s="24"/>
    </row>
    <row r="12" spans="1:9" x14ac:dyDescent="0.25">
      <c r="A12" s="21" t="s">
        <v>24</v>
      </c>
      <c r="B12" s="25" t="s">
        <v>25</v>
      </c>
      <c r="C12" s="24"/>
      <c r="D12" s="24"/>
      <c r="E12" s="24"/>
      <c r="F12" s="24"/>
      <c r="G12" s="24"/>
      <c r="H12" s="24"/>
      <c r="I12" s="24"/>
    </row>
    <row r="13" spans="1:9" x14ac:dyDescent="0.25">
      <c r="A13" s="21" t="s">
        <v>26</v>
      </c>
      <c r="B13" s="25" t="s">
        <v>27</v>
      </c>
      <c r="C13" s="24">
        <f>1360+1200+1300+1450+1870+1430+435+350+1310+450+1970</f>
        <v>13125</v>
      </c>
      <c r="D13" s="24"/>
      <c r="E13" s="24"/>
      <c r="F13" s="24"/>
      <c r="G13" s="24"/>
      <c r="H13" s="24">
        <f>1360+1200+1300+1450+1870+1430+435+350+1310+450+1970</f>
        <v>13125</v>
      </c>
      <c r="I13" s="24"/>
    </row>
    <row r="14" spans="1:9" x14ac:dyDescent="0.25">
      <c r="A14" s="21" t="s">
        <v>28</v>
      </c>
      <c r="B14" s="27" t="s">
        <v>29</v>
      </c>
      <c r="C14" s="28"/>
      <c r="D14" s="28"/>
      <c r="E14" s="28"/>
      <c r="F14" s="29"/>
      <c r="G14" s="28"/>
      <c r="H14" s="28"/>
      <c r="I14" s="28"/>
    </row>
    <row r="15" spans="1:9" x14ac:dyDescent="0.25">
      <c r="A15" s="21" t="s">
        <v>30</v>
      </c>
      <c r="B15" s="25" t="s">
        <v>31</v>
      </c>
      <c r="C15" s="24">
        <f>5512+3014+9000+5653+2900+1003+6625</f>
        <v>33707</v>
      </c>
      <c r="D15" s="24"/>
      <c r="E15" s="24"/>
      <c r="F15" s="24"/>
      <c r="G15" s="24"/>
      <c r="H15" s="24">
        <f>5512+3014+9000+5653+2900+1003+6625</f>
        <v>33707</v>
      </c>
      <c r="I15" s="24"/>
    </row>
    <row r="16" spans="1:9" x14ac:dyDescent="0.25">
      <c r="A16" s="21" t="s">
        <v>32</v>
      </c>
      <c r="B16" s="25" t="s">
        <v>33</v>
      </c>
      <c r="C16" s="24"/>
      <c r="D16" s="24"/>
      <c r="E16" s="24"/>
      <c r="F16" s="24"/>
      <c r="G16" s="24"/>
      <c r="H16" s="24"/>
      <c r="I16" s="24"/>
    </row>
    <row r="17" spans="1:9" x14ac:dyDescent="0.25">
      <c r="A17" s="21" t="s">
        <v>34</v>
      </c>
      <c r="B17" s="25" t="s">
        <v>35</v>
      </c>
      <c r="C17" s="24"/>
      <c r="D17" s="24"/>
      <c r="E17" s="24"/>
      <c r="F17" s="24"/>
      <c r="G17" s="24"/>
      <c r="H17" s="24"/>
      <c r="I17" s="24"/>
    </row>
    <row r="18" spans="1:9" ht="27" x14ac:dyDescent="0.25">
      <c r="A18" s="21" t="s">
        <v>36</v>
      </c>
      <c r="B18" s="27" t="s">
        <v>37</v>
      </c>
      <c r="C18" s="24"/>
      <c r="D18" s="24"/>
      <c r="E18" s="24"/>
      <c r="F18" s="24"/>
      <c r="G18" s="24"/>
      <c r="H18" s="24"/>
      <c r="I18" s="24"/>
    </row>
    <row r="19" spans="1:9" x14ac:dyDescent="0.25">
      <c r="A19" s="21" t="s">
        <v>38</v>
      </c>
      <c r="B19" s="25" t="s">
        <v>39</v>
      </c>
      <c r="C19" s="24"/>
      <c r="D19" s="24"/>
      <c r="E19" s="24"/>
      <c r="F19" s="24"/>
      <c r="G19" s="24"/>
      <c r="H19" s="24"/>
      <c r="I19" s="24"/>
    </row>
    <row r="20" spans="1:9" x14ac:dyDescent="0.25">
      <c r="A20" s="21" t="s">
        <v>40</v>
      </c>
      <c r="B20" s="25" t="s">
        <v>41</v>
      </c>
      <c r="C20" s="24"/>
      <c r="D20" s="24"/>
      <c r="E20" s="24"/>
      <c r="F20" s="24"/>
      <c r="G20" s="24"/>
      <c r="H20" s="24"/>
      <c r="I20" s="24"/>
    </row>
    <row r="21" spans="1:9" x14ac:dyDescent="0.25">
      <c r="A21" s="21" t="s">
        <v>42</v>
      </c>
      <c r="B21" s="25" t="s">
        <v>43</v>
      </c>
      <c r="C21" s="24"/>
      <c r="D21" s="24"/>
      <c r="E21" s="24"/>
      <c r="F21" s="24"/>
      <c r="G21" s="24"/>
      <c r="H21" s="24"/>
      <c r="I21" s="24"/>
    </row>
    <row r="22" spans="1:9" x14ac:dyDescent="0.25">
      <c r="A22" s="21" t="s">
        <v>44</v>
      </c>
      <c r="B22" s="25" t="s">
        <v>45</v>
      </c>
      <c r="C22" s="24"/>
      <c r="D22" s="24"/>
      <c r="E22" s="24"/>
      <c r="F22" s="24"/>
      <c r="G22" s="24"/>
      <c r="H22" s="24"/>
      <c r="I22" s="24"/>
    </row>
    <row r="23" spans="1:9" x14ac:dyDescent="0.25">
      <c r="A23" s="21" t="s">
        <v>46</v>
      </c>
      <c r="B23" s="25" t="s">
        <v>47</v>
      </c>
      <c r="C23" s="24"/>
      <c r="D23" s="24"/>
      <c r="E23" s="24"/>
      <c r="F23" s="24"/>
      <c r="G23" s="24"/>
      <c r="H23" s="24"/>
      <c r="I23" s="24"/>
    </row>
    <row r="24" spans="1:9" x14ac:dyDescent="0.25">
      <c r="A24" s="21" t="s">
        <v>48</v>
      </c>
      <c r="B24" s="25" t="s">
        <v>49</v>
      </c>
      <c r="C24" s="24"/>
      <c r="D24" s="24"/>
      <c r="E24" s="24"/>
      <c r="F24" s="24"/>
      <c r="G24" s="24"/>
      <c r="H24" s="24"/>
      <c r="I24" s="24"/>
    </row>
    <row r="25" spans="1:9" x14ac:dyDescent="0.25">
      <c r="A25" s="21" t="s">
        <v>50</v>
      </c>
      <c r="B25" s="25" t="s">
        <v>51</v>
      </c>
      <c r="C25" s="24"/>
      <c r="D25" s="24"/>
      <c r="E25" s="24"/>
      <c r="F25" s="24"/>
      <c r="G25" s="24"/>
      <c r="H25" s="24"/>
      <c r="I25" s="24"/>
    </row>
    <row r="26" spans="1:9" x14ac:dyDescent="0.25">
      <c r="A26" s="21" t="s">
        <v>52</v>
      </c>
      <c r="B26" s="25" t="s">
        <v>53</v>
      </c>
      <c r="C26" s="24"/>
      <c r="D26" s="24"/>
      <c r="E26" s="24"/>
      <c r="F26" s="30"/>
      <c r="G26" s="24"/>
      <c r="H26" s="24"/>
      <c r="I26" s="24"/>
    </row>
    <row r="27" spans="1:9" x14ac:dyDescent="0.25">
      <c r="A27" s="21" t="s">
        <v>54</v>
      </c>
      <c r="B27" s="25" t="s">
        <v>55</v>
      </c>
      <c r="C27" s="24"/>
      <c r="D27" s="24"/>
      <c r="E27" s="24"/>
      <c r="F27" s="24"/>
      <c r="G27" s="24"/>
      <c r="H27" s="24"/>
      <c r="I27" s="24"/>
    </row>
    <row r="28" spans="1:9" x14ac:dyDescent="0.25">
      <c r="A28" s="21" t="s">
        <v>56</v>
      </c>
      <c r="B28" s="25" t="s">
        <v>57</v>
      </c>
      <c r="C28" s="24"/>
      <c r="D28" s="24"/>
      <c r="E28" s="24"/>
      <c r="F28" s="24"/>
      <c r="G28" s="24"/>
      <c r="H28" s="24"/>
      <c r="I28" s="24"/>
    </row>
    <row r="29" spans="1:9" x14ac:dyDescent="0.25">
      <c r="A29" s="21" t="s">
        <v>58</v>
      </c>
      <c r="B29" s="25" t="s">
        <v>59</v>
      </c>
      <c r="C29" s="24"/>
      <c r="D29" s="24"/>
      <c r="E29" s="24"/>
      <c r="F29" s="24"/>
      <c r="G29" s="24"/>
      <c r="H29" s="24"/>
      <c r="I29" s="24"/>
    </row>
    <row r="30" spans="1:9" x14ac:dyDescent="0.25">
      <c r="A30" s="21" t="s">
        <v>60</v>
      </c>
      <c r="B30" s="27" t="s">
        <v>61</v>
      </c>
      <c r="C30" s="24"/>
      <c r="D30" s="24"/>
      <c r="E30" s="24"/>
      <c r="F30" s="24"/>
      <c r="G30" s="24"/>
      <c r="H30" s="24"/>
      <c r="I30" s="24"/>
    </row>
    <row r="31" spans="1:9" x14ac:dyDescent="0.25">
      <c r="A31" s="21" t="s">
        <v>62</v>
      </c>
      <c r="B31" s="25" t="s">
        <v>63</v>
      </c>
      <c r="C31" s="24"/>
      <c r="D31" s="24"/>
      <c r="E31" s="24"/>
      <c r="F31" s="24"/>
      <c r="G31" s="24"/>
      <c r="H31" s="24"/>
      <c r="I31" s="24"/>
    </row>
    <row r="32" spans="1:9" x14ac:dyDescent="0.25">
      <c r="A32" s="31"/>
      <c r="B32" s="32" t="s">
        <v>64</v>
      </c>
      <c r="C32" s="33">
        <f>SUM(C8:C31)</f>
        <v>46832</v>
      </c>
      <c r="D32" s="33"/>
      <c r="E32" s="33"/>
      <c r="F32" s="33"/>
      <c r="G32" s="33" t="s">
        <v>65</v>
      </c>
      <c r="H32" s="33"/>
      <c r="I32" s="33"/>
    </row>
    <row r="33" spans="1:9" x14ac:dyDescent="0.25">
      <c r="A33" s="31"/>
      <c r="B33" s="32" t="s">
        <v>66</v>
      </c>
      <c r="C33" s="33">
        <f>E7+H7</f>
        <v>46832</v>
      </c>
      <c r="D33" s="33"/>
      <c r="E33" s="33"/>
      <c r="F33" s="33"/>
      <c r="G33" s="33" t="s">
        <v>67</v>
      </c>
      <c r="H33" s="33"/>
      <c r="I33" s="33"/>
    </row>
    <row r="34" spans="1:9" x14ac:dyDescent="0.25">
      <c r="A34" s="31"/>
      <c r="B34" s="32" t="s">
        <v>68</v>
      </c>
      <c r="C34" s="33">
        <f>C32-C33</f>
        <v>0</v>
      </c>
      <c r="D34" s="33"/>
      <c r="E34" s="33"/>
      <c r="F34" s="33"/>
      <c r="G34" s="33"/>
      <c r="H34" s="33"/>
      <c r="I34" s="33"/>
    </row>
    <row r="35" spans="1:9" ht="15.75" x14ac:dyDescent="0.25">
      <c r="A35" s="31"/>
      <c r="B35" s="53" t="s">
        <v>69</v>
      </c>
      <c r="C35" s="33">
        <f>10+3+7+12+8+9+2+0+1+4+1+11</f>
        <v>68</v>
      </c>
      <c r="D35" s="33"/>
      <c r="E35" s="33"/>
      <c r="F35" s="54"/>
      <c r="G35" s="54"/>
      <c r="H35" s="54"/>
      <c r="I35" s="54"/>
    </row>
    <row r="36" spans="1:9" ht="15.75" x14ac:dyDescent="0.25">
      <c r="A36" s="31"/>
      <c r="B36" s="55" t="s">
        <v>4</v>
      </c>
      <c r="C36" s="53"/>
      <c r="D36" s="33"/>
      <c r="E36" s="33"/>
      <c r="F36" s="54"/>
      <c r="G36" s="54"/>
      <c r="H36" s="54"/>
      <c r="I36" s="54"/>
    </row>
    <row r="37" spans="1:9" ht="15.75" x14ac:dyDescent="0.25">
      <c r="A37" s="56"/>
      <c r="B37" s="55" t="s">
        <v>70</v>
      </c>
      <c r="C37" s="33">
        <f>10+3+7+12+8+9+2+0+1+4+1+8</f>
        <v>65</v>
      </c>
      <c r="D37" s="54"/>
      <c r="E37" s="54"/>
      <c r="F37" s="54"/>
      <c r="G37" s="54"/>
      <c r="H37" s="54"/>
      <c r="I37" s="54"/>
    </row>
    <row r="38" spans="1:9" ht="15.75" x14ac:dyDescent="0.25">
      <c r="A38" s="56"/>
      <c r="B38" s="55" t="s">
        <v>71</v>
      </c>
      <c r="C38" s="33">
        <f>0+0+0+0+0+0+0+0+0+0+0+3</f>
        <v>3</v>
      </c>
      <c r="D38" s="54"/>
      <c r="E38" s="54"/>
      <c r="F38" s="54"/>
      <c r="G38" s="54"/>
      <c r="H38" s="54"/>
      <c r="I38" s="5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5AAC9-C66D-4B72-8473-807058439280}">
  <dimension ref="A1:I38"/>
  <sheetViews>
    <sheetView workbookViewId="0">
      <selection activeCell="K34" sqref="K34"/>
    </sheetView>
  </sheetViews>
  <sheetFormatPr defaultRowHeight="15" x14ac:dyDescent="0.25"/>
  <cols>
    <col min="2" max="2" width="65.28515625" bestFit="1" customWidth="1"/>
  </cols>
  <sheetData>
    <row r="1" spans="1:9" ht="15.75" x14ac:dyDescent="0.25">
      <c r="A1" s="48" t="s">
        <v>0</v>
      </c>
      <c r="B1" s="49"/>
      <c r="C1" s="49"/>
      <c r="D1" s="49"/>
      <c r="E1" s="49"/>
      <c r="F1" s="50"/>
      <c r="G1" s="49"/>
      <c r="H1" s="49"/>
      <c r="I1" s="50"/>
    </row>
    <row r="2" spans="1:9" ht="15.75" x14ac:dyDescent="0.25">
      <c r="A2" s="51"/>
      <c r="B2" s="52" t="s">
        <v>75</v>
      </c>
      <c r="C2" s="49"/>
      <c r="D2" s="49"/>
      <c r="E2" s="49"/>
      <c r="F2" s="50"/>
      <c r="G2" s="49"/>
      <c r="H2" s="49"/>
      <c r="I2" s="50"/>
    </row>
    <row r="3" spans="1:9" ht="15.75" x14ac:dyDescent="0.25">
      <c r="A3" s="6" t="s">
        <v>2</v>
      </c>
      <c r="B3" s="6"/>
      <c r="C3" s="6"/>
      <c r="D3" s="6"/>
      <c r="E3" s="6"/>
      <c r="F3" s="6"/>
      <c r="G3" s="6"/>
      <c r="H3" s="6"/>
      <c r="I3" s="6"/>
    </row>
    <row r="4" spans="1:9" x14ac:dyDescent="0.25">
      <c r="A4" s="7" t="s">
        <v>3</v>
      </c>
      <c r="B4" s="8"/>
      <c r="C4" s="8"/>
      <c r="D4" s="9" t="s">
        <v>4</v>
      </c>
      <c r="E4" s="10"/>
      <c r="F4" s="11"/>
      <c r="G4" s="10"/>
      <c r="H4" s="10"/>
      <c r="I4" s="12"/>
    </row>
    <row r="5" spans="1:9" x14ac:dyDescent="0.25">
      <c r="A5" s="13" t="s">
        <v>5</v>
      </c>
      <c r="B5" s="14" t="s">
        <v>6</v>
      </c>
      <c r="C5" s="15" t="s">
        <v>7</v>
      </c>
      <c r="D5" s="16" t="s">
        <v>8</v>
      </c>
      <c r="E5" s="17"/>
      <c r="F5" s="17"/>
      <c r="G5" s="18" t="s">
        <v>9</v>
      </c>
      <c r="H5" s="17"/>
      <c r="I5" s="17"/>
    </row>
    <row r="6" spans="1:9" x14ac:dyDescent="0.25">
      <c r="A6" s="19" t="s">
        <v>10</v>
      </c>
      <c r="B6" s="20"/>
      <c r="C6" s="20"/>
      <c r="D6" s="21" t="s">
        <v>11</v>
      </c>
      <c r="E6" s="21" t="s">
        <v>12</v>
      </c>
      <c r="F6" s="21" t="s">
        <v>13</v>
      </c>
      <c r="G6" s="21" t="s">
        <v>14</v>
      </c>
      <c r="H6" s="21" t="s">
        <v>12</v>
      </c>
      <c r="I6" s="21" t="s">
        <v>13</v>
      </c>
    </row>
    <row r="7" spans="1:9" x14ac:dyDescent="0.25">
      <c r="A7" s="21">
        <v>0</v>
      </c>
      <c r="B7" s="22" t="s">
        <v>15</v>
      </c>
      <c r="C7" s="23">
        <f>20851+350+1401+13364+20163+12865+1387+2968+996+16707</f>
        <v>91052</v>
      </c>
      <c r="D7" s="24"/>
      <c r="E7" s="24"/>
      <c r="F7" s="24"/>
      <c r="G7" s="24"/>
      <c r="H7" s="24">
        <f>20851+350+1401+13364+20163+12865+1387+2968+996+16707</f>
        <v>91052</v>
      </c>
      <c r="I7" s="24"/>
    </row>
    <row r="8" spans="1:9" x14ac:dyDescent="0.25">
      <c r="A8" s="21" t="s">
        <v>16</v>
      </c>
      <c r="B8" s="25" t="s">
        <v>17</v>
      </c>
      <c r="C8" s="24"/>
      <c r="D8" s="24"/>
      <c r="E8" s="24"/>
      <c r="F8" s="24"/>
      <c r="G8" s="24"/>
      <c r="H8" s="24"/>
      <c r="I8" s="24"/>
    </row>
    <row r="9" spans="1:9" x14ac:dyDescent="0.25">
      <c r="A9" s="21" t="s">
        <v>18</v>
      </c>
      <c r="B9" s="26" t="s">
        <v>19</v>
      </c>
      <c r="C9" s="24"/>
      <c r="D9" s="24"/>
      <c r="E9" s="24"/>
      <c r="F9" s="24"/>
      <c r="G9" s="24"/>
      <c r="H9" s="24"/>
      <c r="I9" s="24"/>
    </row>
    <row r="10" spans="1:9" x14ac:dyDescent="0.25">
      <c r="A10" s="21" t="s">
        <v>20</v>
      </c>
      <c r="B10" s="25" t="s">
        <v>21</v>
      </c>
      <c r="C10" s="24"/>
      <c r="D10" s="24"/>
      <c r="E10" s="24"/>
      <c r="F10" s="24"/>
      <c r="G10" s="24"/>
      <c r="H10" s="24"/>
      <c r="I10" s="24"/>
    </row>
    <row r="11" spans="1:9" x14ac:dyDescent="0.25">
      <c r="A11" s="21" t="s">
        <v>22</v>
      </c>
      <c r="B11" s="27" t="s">
        <v>23</v>
      </c>
      <c r="C11" s="24"/>
      <c r="D11" s="24"/>
      <c r="E11" s="24"/>
      <c r="F11" s="24"/>
      <c r="G11" s="24"/>
      <c r="H11" s="24"/>
      <c r="I11" s="24"/>
    </row>
    <row r="12" spans="1:9" x14ac:dyDescent="0.25">
      <c r="A12" s="21" t="s">
        <v>24</v>
      </c>
      <c r="B12" s="25" t="s">
        <v>25</v>
      </c>
      <c r="C12" s="24"/>
      <c r="D12" s="24"/>
      <c r="E12" s="24"/>
      <c r="F12" s="24"/>
      <c r="G12" s="24"/>
      <c r="H12" s="24"/>
      <c r="I12" s="24"/>
    </row>
    <row r="13" spans="1:9" x14ac:dyDescent="0.25">
      <c r="A13" s="21" t="s">
        <v>26</v>
      </c>
      <c r="B13" s="25" t="s">
        <v>27</v>
      </c>
      <c r="C13" s="24"/>
      <c r="D13" s="24"/>
      <c r="E13" s="24"/>
      <c r="F13" s="24"/>
      <c r="G13" s="24"/>
      <c r="H13" s="24"/>
      <c r="I13" s="24"/>
    </row>
    <row r="14" spans="1:9" x14ac:dyDescent="0.25">
      <c r="A14" s="21" t="s">
        <v>28</v>
      </c>
      <c r="B14" s="27" t="s">
        <v>29</v>
      </c>
      <c r="C14" s="28"/>
      <c r="D14" s="28"/>
      <c r="E14" s="28"/>
      <c r="F14" s="29"/>
      <c r="G14" s="28"/>
      <c r="H14" s="28"/>
      <c r="I14" s="28"/>
    </row>
    <row r="15" spans="1:9" x14ac:dyDescent="0.25">
      <c r="A15" s="21" t="s">
        <v>30</v>
      </c>
      <c r="B15" s="25" t="s">
        <v>31</v>
      </c>
      <c r="C15" s="24">
        <f>20851+350+1401+13364+20163+12865+1387+2968+996+16707</f>
        <v>91052</v>
      </c>
      <c r="D15" s="24"/>
      <c r="E15" s="24"/>
      <c r="F15" s="24"/>
      <c r="G15" s="24"/>
      <c r="H15" s="24">
        <f>20851+350+1401+13364+20163+12865+1387+2968+996+16707</f>
        <v>91052</v>
      </c>
      <c r="I15" s="24"/>
    </row>
    <row r="16" spans="1:9" x14ac:dyDescent="0.25">
      <c r="A16" s="21" t="s">
        <v>32</v>
      </c>
      <c r="B16" s="25" t="s">
        <v>33</v>
      </c>
      <c r="C16" s="24"/>
      <c r="D16" s="24"/>
      <c r="E16" s="24"/>
      <c r="F16" s="24"/>
      <c r="G16" s="24"/>
      <c r="H16" s="24"/>
      <c r="I16" s="24"/>
    </row>
    <row r="17" spans="1:9" x14ac:dyDescent="0.25">
      <c r="A17" s="21" t="s">
        <v>34</v>
      </c>
      <c r="B17" s="25" t="s">
        <v>35</v>
      </c>
      <c r="C17" s="24"/>
      <c r="D17" s="24"/>
      <c r="E17" s="24"/>
      <c r="F17" s="24"/>
      <c r="G17" s="24"/>
      <c r="H17" s="24"/>
      <c r="I17" s="24"/>
    </row>
    <row r="18" spans="1:9" ht="18" customHeight="1" x14ac:dyDescent="0.25">
      <c r="A18" s="21" t="s">
        <v>36</v>
      </c>
      <c r="B18" s="27" t="s">
        <v>37</v>
      </c>
      <c r="C18" s="24"/>
      <c r="D18" s="24"/>
      <c r="E18" s="24"/>
      <c r="F18" s="24"/>
      <c r="G18" s="24"/>
      <c r="H18" s="24"/>
      <c r="I18" s="24"/>
    </row>
    <row r="19" spans="1:9" x14ac:dyDescent="0.25">
      <c r="A19" s="21" t="s">
        <v>38</v>
      </c>
      <c r="B19" s="25" t="s">
        <v>39</v>
      </c>
      <c r="C19" s="24"/>
      <c r="D19" s="24"/>
      <c r="E19" s="24"/>
      <c r="F19" s="24"/>
      <c r="G19" s="24"/>
      <c r="H19" s="24"/>
      <c r="I19" s="24"/>
    </row>
    <row r="20" spans="1:9" x14ac:dyDescent="0.25">
      <c r="A20" s="21" t="s">
        <v>40</v>
      </c>
      <c r="B20" s="25" t="s">
        <v>41</v>
      </c>
      <c r="C20" s="24"/>
      <c r="D20" s="24"/>
      <c r="E20" s="24"/>
      <c r="F20" s="24"/>
      <c r="G20" s="24"/>
      <c r="H20" s="24"/>
      <c r="I20" s="24"/>
    </row>
    <row r="21" spans="1:9" x14ac:dyDescent="0.25">
      <c r="A21" s="21" t="s">
        <v>42</v>
      </c>
      <c r="B21" s="25" t="s">
        <v>43</v>
      </c>
      <c r="C21" s="24"/>
      <c r="D21" s="24"/>
      <c r="E21" s="24"/>
      <c r="F21" s="24"/>
      <c r="G21" s="24"/>
      <c r="H21" s="24"/>
      <c r="I21" s="24"/>
    </row>
    <row r="22" spans="1:9" x14ac:dyDescent="0.25">
      <c r="A22" s="21" t="s">
        <v>44</v>
      </c>
      <c r="B22" s="25" t="s">
        <v>45</v>
      </c>
      <c r="C22" s="24"/>
      <c r="D22" s="24"/>
      <c r="E22" s="24"/>
      <c r="F22" s="24"/>
      <c r="G22" s="24"/>
      <c r="H22" s="24"/>
      <c r="I22" s="24"/>
    </row>
    <row r="23" spans="1:9" x14ac:dyDescent="0.25">
      <c r="A23" s="21" t="s">
        <v>46</v>
      </c>
      <c r="B23" s="25" t="s">
        <v>47</v>
      </c>
      <c r="C23" s="24"/>
      <c r="D23" s="24"/>
      <c r="E23" s="24"/>
      <c r="F23" s="24"/>
      <c r="G23" s="24"/>
      <c r="H23" s="24"/>
      <c r="I23" s="24"/>
    </row>
    <row r="24" spans="1:9" x14ac:dyDescent="0.25">
      <c r="A24" s="21" t="s">
        <v>48</v>
      </c>
      <c r="B24" s="25" t="s">
        <v>49</v>
      </c>
      <c r="C24" s="24"/>
      <c r="D24" s="24"/>
      <c r="E24" s="24"/>
      <c r="F24" s="24"/>
      <c r="G24" s="24"/>
      <c r="H24" s="24"/>
      <c r="I24" s="24"/>
    </row>
    <row r="25" spans="1:9" x14ac:dyDescent="0.25">
      <c r="A25" s="21" t="s">
        <v>50</v>
      </c>
      <c r="B25" s="25" t="s">
        <v>51</v>
      </c>
      <c r="C25" s="24"/>
      <c r="D25" s="24"/>
      <c r="E25" s="24"/>
      <c r="F25" s="24"/>
      <c r="G25" s="24"/>
      <c r="H25" s="24"/>
      <c r="I25" s="24"/>
    </row>
    <row r="26" spans="1:9" x14ac:dyDescent="0.25">
      <c r="A26" s="21" t="s">
        <v>52</v>
      </c>
      <c r="B26" s="25" t="s">
        <v>53</v>
      </c>
      <c r="C26" s="24"/>
      <c r="D26" s="24"/>
      <c r="E26" s="24"/>
      <c r="F26" s="30"/>
      <c r="G26" s="24"/>
      <c r="H26" s="24"/>
      <c r="I26" s="24"/>
    </row>
    <row r="27" spans="1:9" x14ac:dyDescent="0.25">
      <c r="A27" s="21" t="s">
        <v>54</v>
      </c>
      <c r="B27" s="25" t="s">
        <v>55</v>
      </c>
      <c r="C27" s="24"/>
      <c r="D27" s="24"/>
      <c r="E27" s="24"/>
      <c r="F27" s="24"/>
      <c r="G27" s="24"/>
      <c r="H27" s="24"/>
      <c r="I27" s="24"/>
    </row>
    <row r="28" spans="1:9" x14ac:dyDescent="0.25">
      <c r="A28" s="21" t="s">
        <v>56</v>
      </c>
      <c r="B28" s="25" t="s">
        <v>57</v>
      </c>
      <c r="C28" s="24"/>
      <c r="D28" s="24"/>
      <c r="E28" s="24"/>
      <c r="F28" s="24"/>
      <c r="G28" s="24"/>
      <c r="H28" s="24"/>
      <c r="I28" s="24"/>
    </row>
    <row r="29" spans="1:9" x14ac:dyDescent="0.25">
      <c r="A29" s="21" t="s">
        <v>58</v>
      </c>
      <c r="B29" s="25" t="s">
        <v>59</v>
      </c>
      <c r="C29" s="24"/>
      <c r="D29" s="24"/>
      <c r="E29" s="24"/>
      <c r="F29" s="24"/>
      <c r="G29" s="24"/>
      <c r="H29" s="24"/>
      <c r="I29" s="24"/>
    </row>
    <row r="30" spans="1:9" x14ac:dyDescent="0.25">
      <c r="A30" s="21" t="s">
        <v>60</v>
      </c>
      <c r="B30" s="27" t="s">
        <v>61</v>
      </c>
      <c r="C30" s="24"/>
      <c r="D30" s="24"/>
      <c r="E30" s="24"/>
      <c r="F30" s="24"/>
      <c r="G30" s="24"/>
      <c r="H30" s="24"/>
      <c r="I30" s="24"/>
    </row>
    <row r="31" spans="1:9" x14ac:dyDescent="0.25">
      <c r="A31" s="21" t="s">
        <v>62</v>
      </c>
      <c r="B31" s="25" t="s">
        <v>63</v>
      </c>
      <c r="C31" s="24"/>
      <c r="D31" s="24"/>
      <c r="E31" s="24"/>
      <c r="F31" s="24"/>
      <c r="G31" s="24"/>
      <c r="H31" s="24"/>
      <c r="I31" s="24"/>
    </row>
    <row r="32" spans="1:9" x14ac:dyDescent="0.25">
      <c r="A32" s="31"/>
      <c r="B32" s="32" t="s">
        <v>64</v>
      </c>
      <c r="C32" s="33">
        <f>SUM(C8:C31)</f>
        <v>91052</v>
      </c>
      <c r="D32" s="33"/>
      <c r="E32" s="33"/>
      <c r="F32" s="33"/>
      <c r="G32" s="33" t="s">
        <v>65</v>
      </c>
      <c r="H32" s="33"/>
      <c r="I32" s="33"/>
    </row>
    <row r="33" spans="1:9" x14ac:dyDescent="0.25">
      <c r="A33" s="31"/>
      <c r="B33" s="32" t="s">
        <v>66</v>
      </c>
      <c r="C33" s="33">
        <f>E7+H7</f>
        <v>91052</v>
      </c>
      <c r="D33" s="33"/>
      <c r="E33" s="33"/>
      <c r="F33" s="33"/>
      <c r="G33" s="33" t="s">
        <v>67</v>
      </c>
      <c r="H33" s="33"/>
      <c r="I33" s="33"/>
    </row>
    <row r="34" spans="1:9" x14ac:dyDescent="0.25">
      <c r="A34" s="31"/>
      <c r="B34" s="32" t="s">
        <v>68</v>
      </c>
      <c r="C34" s="33">
        <f>C32-C33</f>
        <v>0</v>
      </c>
      <c r="D34" s="33"/>
      <c r="E34" s="33"/>
      <c r="F34" s="33"/>
      <c r="G34" s="33"/>
      <c r="H34" s="33"/>
      <c r="I34" s="33"/>
    </row>
    <row r="35" spans="1:9" ht="15.75" x14ac:dyDescent="0.25">
      <c r="A35" s="31"/>
      <c r="B35" s="53" t="s">
        <v>69</v>
      </c>
      <c r="C35" s="33">
        <v>127</v>
      </c>
      <c r="D35" s="33"/>
      <c r="E35" s="33"/>
      <c r="F35" s="54"/>
      <c r="G35" s="54"/>
      <c r="H35" s="54"/>
      <c r="I35" s="54"/>
    </row>
    <row r="36" spans="1:9" ht="15.75" x14ac:dyDescent="0.25">
      <c r="A36" s="31"/>
      <c r="B36" s="55" t="s">
        <v>4</v>
      </c>
      <c r="C36" s="53"/>
      <c r="D36" s="33"/>
      <c r="E36" s="33"/>
      <c r="F36" s="54"/>
      <c r="G36" s="54"/>
      <c r="H36" s="54"/>
      <c r="I36" s="54"/>
    </row>
    <row r="37" spans="1:9" ht="15.75" x14ac:dyDescent="0.25">
      <c r="A37" s="40"/>
      <c r="B37" s="39" t="s">
        <v>70</v>
      </c>
      <c r="C37" s="34">
        <v>122</v>
      </c>
      <c r="D37" s="37"/>
      <c r="E37" s="37"/>
      <c r="F37" s="37"/>
      <c r="G37" s="37"/>
      <c r="H37" s="37"/>
      <c r="I37" s="37"/>
    </row>
    <row r="38" spans="1:9" ht="15.75" x14ac:dyDescent="0.25">
      <c r="A38" s="40"/>
      <c r="B38" s="39" t="s">
        <v>71</v>
      </c>
      <c r="C38" s="34">
        <f>0+0+0+0+2+2+0+0+0+0+0+1</f>
        <v>5</v>
      </c>
      <c r="D38" s="37"/>
      <c r="E38" s="37"/>
      <c r="F38" s="37"/>
      <c r="G38" s="37"/>
      <c r="H38" s="37"/>
      <c r="I38" s="3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5EFEA-EDDE-44BF-9731-7D12C35F156E}">
  <dimension ref="A1:I38"/>
  <sheetViews>
    <sheetView workbookViewId="0">
      <selection activeCell="L17" sqref="L17"/>
    </sheetView>
  </sheetViews>
  <sheetFormatPr defaultRowHeight="15" x14ac:dyDescent="0.25"/>
  <cols>
    <col min="2" max="2" width="56.140625" bestFit="1" customWidth="1"/>
  </cols>
  <sheetData>
    <row r="1" spans="1:9" x14ac:dyDescent="0.25">
      <c r="A1" s="64" t="s">
        <v>0</v>
      </c>
      <c r="B1" s="65"/>
      <c r="C1" s="65"/>
      <c r="D1" s="65"/>
      <c r="E1" s="65"/>
      <c r="F1" s="66"/>
      <c r="G1" s="65"/>
      <c r="H1" s="65"/>
      <c r="I1" s="66"/>
    </row>
    <row r="2" spans="1:9" x14ac:dyDescent="0.25">
      <c r="A2" s="35"/>
      <c r="B2" s="67" t="s">
        <v>84</v>
      </c>
      <c r="C2" s="65"/>
      <c r="D2" s="65"/>
      <c r="E2" s="65"/>
      <c r="F2" s="66"/>
      <c r="G2" s="65"/>
      <c r="H2" s="65"/>
      <c r="I2" s="66"/>
    </row>
    <row r="3" spans="1:9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</row>
    <row r="4" spans="1:9" x14ac:dyDescent="0.25">
      <c r="A4" s="7" t="s">
        <v>3</v>
      </c>
      <c r="B4" s="8"/>
      <c r="C4" s="8"/>
      <c r="D4" s="9" t="s">
        <v>4</v>
      </c>
      <c r="E4" s="10"/>
      <c r="F4" s="11"/>
      <c r="G4" s="10"/>
      <c r="H4" s="10"/>
      <c r="I4" s="12"/>
    </row>
    <row r="5" spans="1:9" x14ac:dyDescent="0.25">
      <c r="A5" s="13" t="s">
        <v>5</v>
      </c>
      <c r="B5" s="14" t="s">
        <v>6</v>
      </c>
      <c r="C5" s="15" t="s">
        <v>7</v>
      </c>
      <c r="D5" s="16" t="s">
        <v>8</v>
      </c>
      <c r="E5" s="17"/>
      <c r="F5" s="17"/>
      <c r="G5" s="18" t="s">
        <v>9</v>
      </c>
      <c r="H5" s="17"/>
      <c r="I5" s="17"/>
    </row>
    <row r="6" spans="1:9" x14ac:dyDescent="0.25">
      <c r="A6" s="19" t="s">
        <v>10</v>
      </c>
      <c r="B6" s="20"/>
      <c r="C6" s="20"/>
      <c r="D6" s="21" t="s">
        <v>11</v>
      </c>
      <c r="E6" s="21" t="s">
        <v>12</v>
      </c>
      <c r="F6" s="21" t="s">
        <v>13</v>
      </c>
      <c r="G6" s="21" t="s">
        <v>14</v>
      </c>
      <c r="H6" s="21" t="s">
        <v>12</v>
      </c>
      <c r="I6" s="21" t="s">
        <v>13</v>
      </c>
    </row>
    <row r="7" spans="1:9" x14ac:dyDescent="0.25">
      <c r="A7" s="21">
        <v>0</v>
      </c>
      <c r="B7" s="22" t="s">
        <v>15</v>
      </c>
      <c r="C7" s="23">
        <f>3881+3608+4739+5427+7899+2289+1650+653+2410+1140+1720+2057</f>
        <v>37473</v>
      </c>
      <c r="D7" s="24"/>
      <c r="E7" s="24"/>
      <c r="F7" s="24"/>
      <c r="G7" s="24"/>
      <c r="H7" s="24"/>
      <c r="I7" s="24">
        <f>3881+3608+4739+5427+7899+2289+1650+653+2410+1140+1720+2057</f>
        <v>37473</v>
      </c>
    </row>
    <row r="8" spans="1:9" x14ac:dyDescent="0.25">
      <c r="A8" s="21" t="s">
        <v>16</v>
      </c>
      <c r="B8" s="25" t="s">
        <v>17</v>
      </c>
      <c r="C8" s="24"/>
      <c r="D8" s="24"/>
      <c r="E8" s="24"/>
      <c r="F8" s="24"/>
      <c r="G8" s="24"/>
      <c r="H8" s="24"/>
      <c r="I8" s="24"/>
    </row>
    <row r="9" spans="1:9" x14ac:dyDescent="0.25">
      <c r="A9" s="21" t="s">
        <v>18</v>
      </c>
      <c r="B9" s="26" t="s">
        <v>19</v>
      </c>
      <c r="C9" s="24"/>
      <c r="D9" s="24"/>
      <c r="E9" s="24"/>
      <c r="F9" s="24"/>
      <c r="G9" s="24"/>
      <c r="H9" s="24"/>
      <c r="I9" s="24"/>
    </row>
    <row r="10" spans="1:9" x14ac:dyDescent="0.25">
      <c r="A10" s="21" t="s">
        <v>20</v>
      </c>
      <c r="B10" s="25" t="s">
        <v>21</v>
      </c>
      <c r="C10" s="24"/>
      <c r="D10" s="24"/>
      <c r="E10" s="24"/>
      <c r="F10" s="24"/>
      <c r="G10" s="24"/>
      <c r="H10" s="24"/>
      <c r="I10" s="24"/>
    </row>
    <row r="11" spans="1:9" x14ac:dyDescent="0.25">
      <c r="A11" s="21" t="s">
        <v>22</v>
      </c>
      <c r="B11" s="27" t="s">
        <v>23</v>
      </c>
      <c r="C11" s="24"/>
      <c r="D11" s="24"/>
      <c r="E11" s="24"/>
      <c r="F11" s="24"/>
      <c r="G11" s="24"/>
      <c r="H11" s="24"/>
      <c r="I11" s="24"/>
    </row>
    <row r="12" spans="1:9" x14ac:dyDescent="0.25">
      <c r="A12" s="21" t="s">
        <v>24</v>
      </c>
      <c r="B12" s="25" t="s">
        <v>25</v>
      </c>
      <c r="C12" s="24"/>
      <c r="D12" s="24"/>
      <c r="E12" s="24"/>
      <c r="F12" s="24"/>
      <c r="G12" s="24"/>
      <c r="H12" s="24"/>
      <c r="I12" s="24"/>
    </row>
    <row r="13" spans="1:9" x14ac:dyDescent="0.25">
      <c r="A13" s="21" t="s">
        <v>26</v>
      </c>
      <c r="B13" s="25" t="s">
        <v>27</v>
      </c>
      <c r="C13" s="24">
        <f>1481+2408+2050+1827+3049+1089+900+653+2410+1140+1720+2057</f>
        <v>20784</v>
      </c>
      <c r="D13" s="24"/>
      <c r="E13" s="24"/>
      <c r="F13" s="24"/>
      <c r="G13" s="24"/>
      <c r="H13" s="24"/>
      <c r="I13" s="24">
        <f>1481+2408+2050+1827+3049+1089+900+653+2410+1140+1720+2057</f>
        <v>20784</v>
      </c>
    </row>
    <row r="14" spans="1:9" x14ac:dyDescent="0.25">
      <c r="A14" s="21" t="s">
        <v>28</v>
      </c>
      <c r="B14" s="27" t="s">
        <v>29</v>
      </c>
      <c r="C14" s="28"/>
      <c r="D14" s="28"/>
      <c r="E14" s="28"/>
      <c r="F14" s="29"/>
      <c r="G14" s="28"/>
      <c r="H14" s="28"/>
      <c r="I14" s="28"/>
    </row>
    <row r="15" spans="1:9" x14ac:dyDescent="0.25">
      <c r="A15" s="21" t="s">
        <v>30</v>
      </c>
      <c r="B15" s="25" t="s">
        <v>31</v>
      </c>
      <c r="C15" s="24">
        <f>2400+1200+2689+3600+4850+1200+750</f>
        <v>16689</v>
      </c>
      <c r="D15" s="24"/>
      <c r="E15" s="24"/>
      <c r="F15" s="24"/>
      <c r="G15" s="24"/>
      <c r="H15" s="24"/>
      <c r="I15" s="24">
        <f>2400+1200+2689+3600+4850+1200+750</f>
        <v>16689</v>
      </c>
    </row>
    <row r="16" spans="1:9" x14ac:dyDescent="0.25">
      <c r="A16" s="21" t="s">
        <v>32</v>
      </c>
      <c r="B16" s="25" t="s">
        <v>33</v>
      </c>
      <c r="C16" s="24"/>
      <c r="D16" s="24"/>
      <c r="E16" s="24"/>
      <c r="F16" s="24"/>
      <c r="G16" s="24"/>
      <c r="H16" s="24"/>
      <c r="I16" s="24"/>
    </row>
    <row r="17" spans="1:9" x14ac:dyDescent="0.25">
      <c r="A17" s="21" t="s">
        <v>34</v>
      </c>
      <c r="B17" s="25" t="s">
        <v>35</v>
      </c>
      <c r="C17" s="24"/>
      <c r="D17" s="24"/>
      <c r="E17" s="24"/>
      <c r="F17" s="24"/>
      <c r="G17" s="24"/>
      <c r="H17" s="24"/>
      <c r="I17" s="24"/>
    </row>
    <row r="18" spans="1:9" ht="27" x14ac:dyDescent="0.25">
      <c r="A18" s="21" t="s">
        <v>36</v>
      </c>
      <c r="B18" s="27" t="s">
        <v>37</v>
      </c>
      <c r="C18" s="24"/>
      <c r="D18" s="24"/>
      <c r="E18" s="24"/>
      <c r="F18" s="24"/>
      <c r="G18" s="24"/>
      <c r="H18" s="24"/>
      <c r="I18" s="24"/>
    </row>
    <row r="19" spans="1:9" x14ac:dyDescent="0.25">
      <c r="A19" s="21" t="s">
        <v>38</v>
      </c>
      <c r="B19" s="25" t="s">
        <v>39</v>
      </c>
      <c r="C19" s="24"/>
      <c r="D19" s="24"/>
      <c r="E19" s="24"/>
      <c r="F19" s="24"/>
      <c r="G19" s="24"/>
      <c r="H19" s="24"/>
      <c r="I19" s="24"/>
    </row>
    <row r="20" spans="1:9" x14ac:dyDescent="0.25">
      <c r="A20" s="21" t="s">
        <v>40</v>
      </c>
      <c r="B20" s="25" t="s">
        <v>41</v>
      </c>
      <c r="C20" s="24"/>
      <c r="D20" s="24"/>
      <c r="E20" s="24"/>
      <c r="F20" s="24"/>
      <c r="G20" s="24"/>
      <c r="H20" s="24"/>
      <c r="I20" s="24"/>
    </row>
    <row r="21" spans="1:9" x14ac:dyDescent="0.25">
      <c r="A21" s="21" t="s">
        <v>42</v>
      </c>
      <c r="B21" s="25" t="s">
        <v>43</v>
      </c>
      <c r="C21" s="24"/>
      <c r="D21" s="24"/>
      <c r="E21" s="24"/>
      <c r="F21" s="24"/>
      <c r="G21" s="24"/>
      <c r="H21" s="24"/>
      <c r="I21" s="24"/>
    </row>
    <row r="22" spans="1:9" x14ac:dyDescent="0.25">
      <c r="A22" s="21" t="s">
        <v>44</v>
      </c>
      <c r="B22" s="25" t="s">
        <v>45</v>
      </c>
      <c r="C22" s="24"/>
      <c r="D22" s="24"/>
      <c r="E22" s="24"/>
      <c r="F22" s="24"/>
      <c r="G22" s="24"/>
      <c r="H22" s="24"/>
      <c r="I22" s="24"/>
    </row>
    <row r="23" spans="1:9" x14ac:dyDescent="0.25">
      <c r="A23" s="21" t="s">
        <v>46</v>
      </c>
      <c r="B23" s="25" t="s">
        <v>47</v>
      </c>
      <c r="C23" s="24"/>
      <c r="D23" s="24"/>
      <c r="E23" s="24"/>
      <c r="F23" s="24"/>
      <c r="G23" s="24"/>
      <c r="H23" s="24"/>
      <c r="I23" s="24"/>
    </row>
    <row r="24" spans="1:9" x14ac:dyDescent="0.25">
      <c r="A24" s="21" t="s">
        <v>48</v>
      </c>
      <c r="B24" s="25" t="s">
        <v>49</v>
      </c>
      <c r="C24" s="24"/>
      <c r="D24" s="24"/>
      <c r="E24" s="24"/>
      <c r="F24" s="24"/>
      <c r="G24" s="24"/>
      <c r="H24" s="24"/>
      <c r="I24" s="24"/>
    </row>
    <row r="25" spans="1:9" x14ac:dyDescent="0.25">
      <c r="A25" s="21" t="s">
        <v>50</v>
      </c>
      <c r="B25" s="25" t="s">
        <v>51</v>
      </c>
      <c r="C25" s="24"/>
      <c r="D25" s="24"/>
      <c r="E25" s="24"/>
      <c r="F25" s="24"/>
      <c r="G25" s="24"/>
      <c r="H25" s="24"/>
      <c r="I25" s="24"/>
    </row>
    <row r="26" spans="1:9" x14ac:dyDescent="0.25">
      <c r="A26" s="21" t="s">
        <v>52</v>
      </c>
      <c r="B26" s="25" t="s">
        <v>53</v>
      </c>
      <c r="C26" s="24"/>
      <c r="D26" s="24"/>
      <c r="E26" s="24"/>
      <c r="F26" s="30"/>
      <c r="G26" s="24"/>
      <c r="H26" s="24"/>
      <c r="I26" s="24"/>
    </row>
    <row r="27" spans="1:9" x14ac:dyDescent="0.25">
      <c r="A27" s="21" t="s">
        <v>54</v>
      </c>
      <c r="B27" s="25" t="s">
        <v>55</v>
      </c>
      <c r="C27" s="24"/>
      <c r="D27" s="24"/>
      <c r="E27" s="24"/>
      <c r="F27" s="24"/>
      <c r="G27" s="24"/>
      <c r="H27" s="24"/>
      <c r="I27" s="24"/>
    </row>
    <row r="28" spans="1:9" x14ac:dyDescent="0.25">
      <c r="A28" s="21" t="s">
        <v>56</v>
      </c>
      <c r="B28" s="25" t="s">
        <v>57</v>
      </c>
      <c r="C28" s="24"/>
      <c r="D28" s="24"/>
      <c r="E28" s="24"/>
      <c r="F28" s="24"/>
      <c r="G28" s="24"/>
      <c r="H28" s="24"/>
      <c r="I28" s="24"/>
    </row>
    <row r="29" spans="1:9" x14ac:dyDescent="0.25">
      <c r="A29" s="21" t="s">
        <v>58</v>
      </c>
      <c r="B29" s="25" t="s">
        <v>59</v>
      </c>
      <c r="C29" s="24"/>
      <c r="D29" s="24"/>
      <c r="E29" s="24"/>
      <c r="F29" s="24"/>
      <c r="G29" s="24"/>
      <c r="H29" s="24"/>
      <c r="I29" s="24"/>
    </row>
    <row r="30" spans="1:9" x14ac:dyDescent="0.25">
      <c r="A30" s="21" t="s">
        <v>60</v>
      </c>
      <c r="B30" s="27" t="s">
        <v>61</v>
      </c>
      <c r="C30" s="24"/>
      <c r="D30" s="24"/>
      <c r="E30" s="24"/>
      <c r="F30" s="24"/>
      <c r="G30" s="24"/>
      <c r="H30" s="24"/>
      <c r="I30" s="24"/>
    </row>
    <row r="31" spans="1:9" x14ac:dyDescent="0.25">
      <c r="A31" s="21" t="s">
        <v>62</v>
      </c>
      <c r="B31" s="25" t="s">
        <v>63</v>
      </c>
      <c r="C31" s="24"/>
      <c r="D31" s="24"/>
      <c r="E31" s="24"/>
      <c r="F31" s="24"/>
      <c r="G31" s="24"/>
      <c r="H31" s="24"/>
      <c r="I31" s="24"/>
    </row>
    <row r="32" spans="1:9" x14ac:dyDescent="0.25">
      <c r="A32" s="31"/>
      <c r="B32" s="41" t="s">
        <v>64</v>
      </c>
      <c r="C32" s="42">
        <f>SUM(C8:C31)</f>
        <v>37473</v>
      </c>
      <c r="D32" s="42"/>
      <c r="E32" s="42"/>
      <c r="F32" s="42"/>
      <c r="G32" s="42" t="s">
        <v>65</v>
      </c>
      <c r="H32" s="42"/>
      <c r="I32" s="42"/>
    </row>
    <row r="33" spans="1:9" x14ac:dyDescent="0.25">
      <c r="A33" s="31"/>
      <c r="B33" s="41" t="s">
        <v>66</v>
      </c>
      <c r="C33" s="42">
        <f>E7+H7</f>
        <v>0</v>
      </c>
      <c r="D33" s="42"/>
      <c r="E33" s="42"/>
      <c r="F33" s="42"/>
      <c r="G33" s="42" t="s">
        <v>67</v>
      </c>
      <c r="H33" s="42"/>
      <c r="I33" s="42"/>
    </row>
    <row r="34" spans="1:9" x14ac:dyDescent="0.25">
      <c r="A34" s="31"/>
      <c r="B34" s="41" t="s">
        <v>68</v>
      </c>
      <c r="C34" s="42">
        <f>C32-C33</f>
        <v>37473</v>
      </c>
      <c r="D34" s="42"/>
      <c r="E34" s="42"/>
      <c r="F34" s="42"/>
      <c r="G34" s="42"/>
      <c r="H34" s="42"/>
      <c r="I34" s="42"/>
    </row>
    <row r="35" spans="1:9" x14ac:dyDescent="0.25">
      <c r="A35" s="31"/>
      <c r="B35" s="85" t="s">
        <v>69</v>
      </c>
      <c r="C35" s="42">
        <f>7+4+7+8+9+3+2+2+5+3+3+4</f>
        <v>57</v>
      </c>
      <c r="D35" s="42"/>
      <c r="E35" s="42"/>
      <c r="F35" s="89"/>
      <c r="G35" s="89"/>
      <c r="H35" s="89"/>
      <c r="I35" s="89"/>
    </row>
    <row r="36" spans="1:9" x14ac:dyDescent="0.25">
      <c r="A36" s="31"/>
      <c r="B36" s="86" t="s">
        <v>4</v>
      </c>
      <c r="C36" s="85"/>
      <c r="D36" s="42"/>
      <c r="E36" s="42"/>
      <c r="F36" s="89"/>
      <c r="G36" s="89"/>
      <c r="H36" s="89"/>
      <c r="I36" s="89"/>
    </row>
    <row r="37" spans="1:9" x14ac:dyDescent="0.25">
      <c r="A37" s="31"/>
      <c r="B37" s="86" t="s">
        <v>70</v>
      </c>
      <c r="C37" s="42">
        <f>7+4+7+8+9+3+2+2+5+3+3+4</f>
        <v>57</v>
      </c>
      <c r="D37" s="89"/>
      <c r="E37" s="89"/>
      <c r="F37" s="89"/>
      <c r="G37" s="89"/>
      <c r="H37" s="89"/>
      <c r="I37" s="89"/>
    </row>
    <row r="38" spans="1:9" x14ac:dyDescent="0.25">
      <c r="A38" s="31"/>
      <c r="B38" s="86" t="s">
        <v>71</v>
      </c>
      <c r="C38" s="42">
        <f>0+0+0+0+0+0+0+0+0+0+0+0</f>
        <v>0</v>
      </c>
      <c r="D38" s="45"/>
      <c r="E38" s="45"/>
      <c r="F38" s="45"/>
      <c r="G38" s="45"/>
      <c r="H38" s="45"/>
      <c r="I38" s="4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8F442-3016-49BB-8E7A-B307A633E807}">
  <dimension ref="A1:I38"/>
  <sheetViews>
    <sheetView tabSelected="1" workbookViewId="0">
      <selection activeCell="L20" sqref="L20"/>
    </sheetView>
  </sheetViews>
  <sheetFormatPr defaultRowHeight="15" x14ac:dyDescent="0.25"/>
  <cols>
    <col min="2" max="2" width="38.42578125" bestFit="1" customWidth="1"/>
  </cols>
  <sheetData>
    <row r="1" spans="1:9" ht="15.75" x14ac:dyDescent="0.25">
      <c r="A1" s="1" t="s">
        <v>0</v>
      </c>
      <c r="B1" s="2"/>
      <c r="C1" s="2"/>
      <c r="D1" s="2"/>
      <c r="E1" s="2"/>
      <c r="F1" s="3"/>
      <c r="G1" s="2"/>
      <c r="H1" s="2"/>
      <c r="I1" s="3"/>
    </row>
    <row r="2" spans="1:9" ht="15.75" x14ac:dyDescent="0.25">
      <c r="A2" s="4"/>
      <c r="B2" s="5" t="s">
        <v>85</v>
      </c>
      <c r="C2" s="90"/>
      <c r="D2" s="91"/>
      <c r="E2" s="2"/>
      <c r="F2" s="3"/>
      <c r="G2" s="2"/>
      <c r="H2" s="2"/>
      <c r="I2" s="3"/>
    </row>
    <row r="3" spans="1:9" ht="15.75" x14ac:dyDescent="0.25">
      <c r="A3" s="6" t="s">
        <v>2</v>
      </c>
      <c r="B3" s="6"/>
      <c r="C3" s="6"/>
      <c r="D3" s="6"/>
      <c r="E3" s="6"/>
      <c r="F3" s="6"/>
      <c r="G3" s="6"/>
      <c r="H3" s="6"/>
      <c r="I3" s="6"/>
    </row>
    <row r="4" spans="1:9" x14ac:dyDescent="0.25">
      <c r="A4" s="7" t="s">
        <v>3</v>
      </c>
      <c r="B4" s="8"/>
      <c r="C4" s="8"/>
      <c r="D4" s="9" t="s">
        <v>4</v>
      </c>
      <c r="E4" s="10"/>
      <c r="F4" s="11"/>
      <c r="G4" s="10"/>
      <c r="H4" s="10"/>
      <c r="I4" s="12"/>
    </row>
    <row r="5" spans="1:9" x14ac:dyDescent="0.25">
      <c r="A5" s="13" t="s">
        <v>5</v>
      </c>
      <c r="B5" s="14" t="s">
        <v>6</v>
      </c>
      <c r="C5" s="15" t="s">
        <v>7</v>
      </c>
      <c r="D5" s="16" t="s">
        <v>8</v>
      </c>
      <c r="E5" s="17"/>
      <c r="F5" s="17"/>
      <c r="G5" s="18" t="s">
        <v>9</v>
      </c>
      <c r="H5" s="17"/>
      <c r="I5" s="17"/>
    </row>
    <row r="6" spans="1:9" x14ac:dyDescent="0.25">
      <c r="A6" s="19" t="s">
        <v>10</v>
      </c>
      <c r="B6" s="20"/>
      <c r="C6" s="20"/>
      <c r="D6" s="21" t="s">
        <v>11</v>
      </c>
      <c r="E6" s="21" t="s">
        <v>12</v>
      </c>
      <c r="F6" s="21" t="s">
        <v>13</v>
      </c>
      <c r="G6" s="21" t="s">
        <v>14</v>
      </c>
      <c r="H6" s="21" t="s">
        <v>12</v>
      </c>
      <c r="I6" s="21" t="s">
        <v>13</v>
      </c>
    </row>
    <row r="7" spans="1:9" x14ac:dyDescent="0.25">
      <c r="A7" s="21">
        <v>0</v>
      </c>
      <c r="B7" s="22" t="s">
        <v>15</v>
      </c>
      <c r="C7" s="23">
        <f>237854+262686+307760+246550+233337+200928+203509+164203+199005+231904+161983+147613</f>
        <v>2597332</v>
      </c>
      <c r="D7" s="24">
        <f>31310+22277+25499+24502+10872+32896+66679+75055+67654+69083+37030+25229</f>
        <v>488086</v>
      </c>
      <c r="E7" s="24">
        <f>8939+25676+13744+1568+4157+4962+916+1550</f>
        <v>61512</v>
      </c>
      <c r="F7" s="24">
        <f>72619+67215+95224+99694+47592+24676+31863+4738+18923+20663+13222+16157</f>
        <v>512586</v>
      </c>
      <c r="G7" s="24">
        <f>71558+86837+87168+40784+82013+70675+52506+41656+44053+51802+98134+36032</f>
        <v>763218</v>
      </c>
      <c r="H7" s="24">
        <f>36627+22137+45284+53016+57608+46785+36691+32115+47328+45210+450+46272</f>
        <v>469523</v>
      </c>
      <c r="I7" s="24">
        <f>16801+38544+40841+26986+31095+20934+14854+10639+21047+43596+13147+23923</f>
        <v>302407</v>
      </c>
    </row>
    <row r="8" spans="1:9" x14ac:dyDescent="0.25">
      <c r="A8" s="21" t="s">
        <v>16</v>
      </c>
      <c r="B8" s="25" t="s">
        <v>17</v>
      </c>
      <c r="C8" s="24">
        <f>88230+102170+106595+104292+46140+28205+33418+5223+16120+30895+13058+19093</f>
        <v>593439</v>
      </c>
      <c r="D8" s="24">
        <f>11511+6238+7849+13168+2732+2539+1580+13964+2528+1817</f>
        <v>63926</v>
      </c>
      <c r="E8" s="24">
        <f>8939+25676+12797+1568+4157+4962+916+1550</f>
        <v>60565</v>
      </c>
      <c r="F8" s="24">
        <f>67780+62490+85949+89556+39983+20511+29963+4174+14540+12963+8507+12734</f>
        <v>449150</v>
      </c>
      <c r="G8" s="24">
        <f>2232+2000+1049+2418+2023+4542</f>
        <v>14264</v>
      </c>
      <c r="H8" s="24"/>
      <c r="I8" s="24">
        <f>5534</f>
        <v>5534</v>
      </c>
    </row>
    <row r="9" spans="1:9" x14ac:dyDescent="0.25">
      <c r="A9" s="21" t="s">
        <v>18</v>
      </c>
      <c r="B9" s="26" t="s">
        <v>19</v>
      </c>
      <c r="C9" s="24"/>
      <c r="D9" s="24"/>
      <c r="E9" s="24"/>
      <c r="F9" s="24"/>
      <c r="G9" s="24"/>
      <c r="H9" s="24"/>
      <c r="I9" s="24"/>
    </row>
    <row r="10" spans="1:9" x14ac:dyDescent="0.25">
      <c r="A10" s="21" t="s">
        <v>20</v>
      </c>
      <c r="B10" s="25" t="s">
        <v>21</v>
      </c>
      <c r="C10" s="24"/>
      <c r="D10" s="24"/>
      <c r="E10" s="24"/>
      <c r="F10" s="24"/>
      <c r="G10" s="24"/>
      <c r="H10" s="24"/>
      <c r="I10" s="24"/>
    </row>
    <row r="11" spans="1:9" x14ac:dyDescent="0.25">
      <c r="A11" s="21" t="s">
        <v>22</v>
      </c>
      <c r="B11" s="27" t="s">
        <v>23</v>
      </c>
      <c r="C11" s="24"/>
      <c r="D11" s="24"/>
      <c r="E11" s="24"/>
      <c r="F11" s="24"/>
      <c r="G11" s="24"/>
      <c r="H11" s="24"/>
      <c r="I11" s="24"/>
    </row>
    <row r="12" spans="1:9" x14ac:dyDescent="0.25">
      <c r="A12" s="21" t="s">
        <v>24</v>
      </c>
      <c r="B12" s="25" t="s">
        <v>25</v>
      </c>
      <c r="C12" s="24">
        <f>4066+3450+1900+564+2149+761</f>
        <v>12890</v>
      </c>
      <c r="D12" s="24">
        <f>2501+3450+1002+761</f>
        <v>7714</v>
      </c>
      <c r="E12" s="24"/>
      <c r="F12" s="24">
        <f>1565+1900+564+1147</f>
        <v>5176</v>
      </c>
      <c r="G12" s="24"/>
      <c r="H12" s="24"/>
      <c r="I12" s="24"/>
    </row>
    <row r="13" spans="1:9" x14ac:dyDescent="0.25">
      <c r="A13" s="21" t="s">
        <v>26</v>
      </c>
      <c r="B13" s="25" t="s">
        <v>27</v>
      </c>
      <c r="C13" s="24">
        <f>3241+4923+4827+5414+6319+2519+3368+1855+2760+2958+3794+4956</f>
        <v>46934</v>
      </c>
      <c r="D13" s="24"/>
      <c r="E13" s="24"/>
      <c r="F13" s="24">
        <f>200</f>
        <v>200</v>
      </c>
      <c r="G13" s="24">
        <f>1624</f>
        <v>1624</v>
      </c>
      <c r="H13" s="24">
        <f>1760+2515+2777+3387+3270+1430+2033+1202+350+1818+450+2899</f>
        <v>23891</v>
      </c>
      <c r="I13" s="24">
        <f>1481+2408+2050+1827+3049+1089+1335+653+2410+1140+1720+2057</f>
        <v>21219</v>
      </c>
    </row>
    <row r="14" spans="1:9" x14ac:dyDescent="0.25">
      <c r="A14" s="21" t="s">
        <v>28</v>
      </c>
      <c r="B14" s="27" t="s">
        <v>29</v>
      </c>
      <c r="C14" s="28">
        <f>46633+36601+47329+16220+21863+23802+16053+23429+11934+31408+4717+14067</f>
        <v>294056</v>
      </c>
      <c r="D14" s="28">
        <f>17298+2013</f>
        <v>19311</v>
      </c>
      <c r="E14" s="28"/>
      <c r="F14" s="29">
        <f>962+2272</f>
        <v>3234</v>
      </c>
      <c r="G14" s="28">
        <f>20461+25263+34301+13614+21863+18599+16053+23429+7720+7270+4717+5388</f>
        <v>198678</v>
      </c>
      <c r="H14" s="28">
        <f>3384+3104+607+1412</f>
        <v>8507</v>
      </c>
      <c r="I14" s="28">
        <f>5490+7272+8136+2606+5203+4214+24138+7267</f>
        <v>64326</v>
      </c>
    </row>
    <row r="15" spans="1:9" ht="27" x14ac:dyDescent="0.25">
      <c r="A15" s="21" t="s">
        <v>30</v>
      </c>
      <c r="B15" s="25" t="s">
        <v>31</v>
      </c>
      <c r="C15" s="24">
        <f>40477+29948+61133+57398+79067+62478+54904+40604+71615+63178+65490+47641</f>
        <v>673933</v>
      </c>
      <c r="D15" s="24"/>
      <c r="E15" s="24"/>
      <c r="F15" s="24">
        <f>1256</f>
        <v>1256</v>
      </c>
      <c r="G15" s="24">
        <f>3195+6449+7295+1538+17631+15923+19496+9691+24637+19786+65490+5680</f>
        <v>196811</v>
      </c>
      <c r="H15" s="24">
        <f>31483+16518+41900+49629+54338+45355+34658+30913+46978+43392+41961</f>
        <v>437125</v>
      </c>
      <c r="I15" s="24">
        <f>5799+6981+11938+4975+7098+1200+750</f>
        <v>38741</v>
      </c>
    </row>
    <row r="16" spans="1:9" x14ac:dyDescent="0.25">
      <c r="A16" s="21" t="s">
        <v>32</v>
      </c>
      <c r="B16" s="25" t="s">
        <v>33</v>
      </c>
      <c r="C16" s="24">
        <f>2372+3763+7003+8682+7609+4165+5254+12249+13788+3568+3423</f>
        <v>71876</v>
      </c>
      <c r="D16" s="24">
        <f>5254+7866+6088</f>
        <v>19208</v>
      </c>
      <c r="E16" s="24"/>
      <c r="F16" s="24">
        <f>2372+3763+7003+8682+7609+4165+4383+7700+3568+3423</f>
        <v>52668</v>
      </c>
      <c r="G16" s="24"/>
      <c r="H16" s="24"/>
      <c r="I16" s="24"/>
    </row>
    <row r="17" spans="1:9" x14ac:dyDescent="0.25">
      <c r="A17" s="21" t="s">
        <v>34</v>
      </c>
      <c r="B17" s="25" t="s">
        <v>35</v>
      </c>
      <c r="C17" s="24">
        <f>4493+9218+8766</f>
        <v>22477</v>
      </c>
      <c r="D17" s="24"/>
      <c r="E17" s="24"/>
      <c r="F17" s="24"/>
      <c r="G17" s="24">
        <f>4493+9218+8766</f>
        <v>22477</v>
      </c>
      <c r="H17" s="24"/>
      <c r="I17" s="24"/>
    </row>
    <row r="18" spans="1:9" ht="27" x14ac:dyDescent="0.25">
      <c r="A18" s="21" t="s">
        <v>36</v>
      </c>
      <c r="B18" s="27" t="s">
        <v>37</v>
      </c>
      <c r="C18" s="24"/>
      <c r="D18" s="24"/>
      <c r="E18" s="24"/>
      <c r="F18" s="24"/>
      <c r="G18" s="24"/>
      <c r="H18" s="24"/>
      <c r="I18" s="24"/>
    </row>
    <row r="19" spans="1:9" x14ac:dyDescent="0.25">
      <c r="A19" s="21" t="s">
        <v>38</v>
      </c>
      <c r="B19" s="25" t="s">
        <v>39</v>
      </c>
      <c r="C19" s="24"/>
      <c r="D19" s="24"/>
      <c r="E19" s="24"/>
      <c r="F19" s="24"/>
      <c r="G19" s="24"/>
      <c r="H19" s="24"/>
      <c r="I19" s="24"/>
    </row>
    <row r="20" spans="1:9" x14ac:dyDescent="0.25">
      <c r="A20" s="21" t="s">
        <v>40</v>
      </c>
      <c r="B20" s="25" t="s">
        <v>41</v>
      </c>
      <c r="C20" s="24">
        <f>4485+17121+36807+44573+25838+19652+13460+11618</f>
        <v>173554</v>
      </c>
      <c r="D20" s="24">
        <f>8540+36807+44573+25838+17516+13460+11618</f>
        <v>158352</v>
      </c>
      <c r="E20" s="24"/>
      <c r="F20" s="24"/>
      <c r="G20" s="24">
        <f>4485+8581+2136</f>
        <v>15202</v>
      </c>
      <c r="H20" s="24"/>
      <c r="I20" s="24"/>
    </row>
    <row r="21" spans="1:9" x14ac:dyDescent="0.25">
      <c r="A21" s="21" t="s">
        <v>42</v>
      </c>
      <c r="B21" s="25" t="s">
        <v>43</v>
      </c>
      <c r="C21" s="24">
        <f>21444</f>
        <v>21444</v>
      </c>
      <c r="D21" s="24"/>
      <c r="E21" s="24"/>
      <c r="F21" s="24"/>
      <c r="G21" s="24">
        <f>8472</f>
        <v>8472</v>
      </c>
      <c r="H21" s="24"/>
      <c r="I21" s="24">
        <f>12972</f>
        <v>12972</v>
      </c>
    </row>
    <row r="22" spans="1:9" x14ac:dyDescent="0.25">
      <c r="A22" s="21" t="s">
        <v>44</v>
      </c>
      <c r="B22" s="25" t="s">
        <v>45</v>
      </c>
      <c r="C22" s="24">
        <f>27903+40546+19211+30960+35223+41755+45554+38290+53683+59718+44675+37121</f>
        <v>474639</v>
      </c>
      <c r="D22" s="24">
        <f>12589+15637+11334+10808+21624+27333+25228+32370+31515+20040+11033</f>
        <v>219511</v>
      </c>
      <c r="E22" s="24"/>
      <c r="F22" s="24"/>
      <c r="G22" s="24">
        <f>23872+17815+3574+6493+9339+6689+5452+3076+6890+13984+13208+12953</f>
        <v>123345</v>
      </c>
      <c r="H22" s="24"/>
      <c r="I22" s="24">
        <f>4031+10142+13133+15076+13442+12769+9986+14423+14219+11427+13135</f>
        <v>131783</v>
      </c>
    </row>
    <row r="23" spans="1:9" x14ac:dyDescent="0.25">
      <c r="A23" s="21" t="s">
        <v>46</v>
      </c>
      <c r="B23" s="25" t="s">
        <v>47</v>
      </c>
      <c r="C23" s="24"/>
      <c r="D23" s="24"/>
      <c r="E23" s="24"/>
      <c r="F23" s="24"/>
      <c r="G23" s="24"/>
      <c r="H23" s="24"/>
      <c r="I23" s="24"/>
    </row>
    <row r="24" spans="1:9" x14ac:dyDescent="0.25">
      <c r="A24" s="21" t="s">
        <v>48</v>
      </c>
      <c r="B24" s="25" t="s">
        <v>49</v>
      </c>
      <c r="C24" s="24">
        <f>651+2579+2424</f>
        <v>5654</v>
      </c>
      <c r="D24" s="24"/>
      <c r="E24" s="24"/>
      <c r="F24" s="24"/>
      <c r="G24" s="24">
        <f>651+620+960</f>
        <v>2231</v>
      </c>
      <c r="H24" s="24"/>
      <c r="I24" s="24">
        <f>1959+1464</f>
        <v>3423</v>
      </c>
    </row>
    <row r="25" spans="1:9" x14ac:dyDescent="0.25">
      <c r="A25" s="21" t="s">
        <v>50</v>
      </c>
      <c r="B25" s="25" t="s">
        <v>51</v>
      </c>
      <c r="C25" s="24">
        <f>3402+5029+7453+3270+2400+1912+1056+878+1901+3493</f>
        <v>30794</v>
      </c>
      <c r="D25" s="24"/>
      <c r="E25" s="24"/>
      <c r="F25" s="24">
        <f>902</f>
        <v>902</v>
      </c>
      <c r="G25" s="24">
        <f>2500+5029+7453+3270+2400+1912+1056+878+791+3493</f>
        <v>28782</v>
      </c>
      <c r="H25" s="24"/>
      <c r="I25" s="24">
        <f>1110</f>
        <v>1110</v>
      </c>
    </row>
    <row r="26" spans="1:9" x14ac:dyDescent="0.25">
      <c r="A26" s="21" t="s">
        <v>52</v>
      </c>
      <c r="B26" s="25" t="s">
        <v>53</v>
      </c>
      <c r="C26" s="24"/>
      <c r="D26" s="24"/>
      <c r="E26" s="24"/>
      <c r="F26" s="30"/>
      <c r="G26" s="24"/>
      <c r="H26" s="24"/>
      <c r="I26" s="24"/>
    </row>
    <row r="27" spans="1:9" x14ac:dyDescent="0.25">
      <c r="A27" s="21" t="s">
        <v>54</v>
      </c>
      <c r="B27" s="25" t="s">
        <v>55</v>
      </c>
      <c r="C27" s="24"/>
      <c r="D27" s="24"/>
      <c r="E27" s="24"/>
      <c r="F27" s="24"/>
      <c r="G27" s="24"/>
      <c r="H27" s="24"/>
      <c r="I27" s="24"/>
    </row>
    <row r="28" spans="1:9" x14ac:dyDescent="0.25">
      <c r="A28" s="21" t="s">
        <v>56</v>
      </c>
      <c r="B28" s="25" t="s">
        <v>57</v>
      </c>
      <c r="C28" s="24">
        <f>17037+26387+28160+16131+27253+18483+9593+3355+3928+8387+7579+6509</f>
        <v>172802</v>
      </c>
      <c r="D28" s="24"/>
      <c r="E28" s="24">
        <f>947</f>
        <v>947</v>
      </c>
      <c r="F28" s="24"/>
      <c r="G28" s="24">
        <f>17037+20180+23427+11686+23425+18483+9593+3355+3928+5398+7579+6509</f>
        <v>150600</v>
      </c>
      <c r="H28" s="24"/>
      <c r="I28" s="24">
        <f>6207+3786+4445+3828+2989</f>
        <v>21255</v>
      </c>
    </row>
    <row r="29" spans="1:9" x14ac:dyDescent="0.25">
      <c r="A29" s="21" t="s">
        <v>58</v>
      </c>
      <c r="B29" s="25" t="s">
        <v>59</v>
      </c>
      <c r="C29" s="24">
        <f>19</f>
        <v>19</v>
      </c>
      <c r="D29" s="24"/>
      <c r="E29" s="24"/>
      <c r="F29" s="24"/>
      <c r="G29" s="24">
        <f>19</f>
        <v>19</v>
      </c>
      <c r="H29" s="24"/>
      <c r="I29" s="24"/>
    </row>
    <row r="30" spans="1:9" x14ac:dyDescent="0.25">
      <c r="A30" s="21" t="s">
        <v>60</v>
      </c>
      <c r="B30" s="27" t="s">
        <v>61</v>
      </c>
      <c r="C30" s="24">
        <f>713</f>
        <v>713</v>
      </c>
      <c r="D30" s="24"/>
      <c r="E30" s="24"/>
      <c r="F30" s="24"/>
      <c r="G30" s="24">
        <f>713</f>
        <v>713</v>
      </c>
      <c r="H30" s="24"/>
      <c r="I30" s="24"/>
    </row>
    <row r="31" spans="1:9" x14ac:dyDescent="0.25">
      <c r="A31" s="21" t="s">
        <v>62</v>
      </c>
      <c r="B31" s="25" t="s">
        <v>63</v>
      </c>
      <c r="C31" s="24">
        <f>2108</f>
        <v>2108</v>
      </c>
      <c r="D31" s="24">
        <f>64</f>
        <v>64</v>
      </c>
      <c r="E31" s="24"/>
      <c r="F31" s="24"/>
      <c r="G31" s="24"/>
      <c r="H31" s="24"/>
      <c r="I31" s="24">
        <f>2044</f>
        <v>2044</v>
      </c>
    </row>
    <row r="32" spans="1:9" x14ac:dyDescent="0.25">
      <c r="A32" s="31"/>
      <c r="B32" s="32" t="s">
        <v>64</v>
      </c>
      <c r="C32" s="33">
        <f>SUM(C8:C31)</f>
        <v>2597332</v>
      </c>
      <c r="D32" s="34"/>
      <c r="E32" s="34"/>
      <c r="F32" s="34"/>
      <c r="G32" s="34" t="s">
        <v>65</v>
      </c>
      <c r="H32" s="34"/>
      <c r="I32" s="34"/>
    </row>
    <row r="33" spans="1:9" x14ac:dyDescent="0.25">
      <c r="A33" s="31"/>
      <c r="B33" s="32" t="s">
        <v>66</v>
      </c>
      <c r="C33" s="33">
        <f>E7+H7</f>
        <v>531035</v>
      </c>
      <c r="D33" s="34"/>
      <c r="E33" s="34"/>
      <c r="F33" s="34"/>
      <c r="G33" s="34" t="s">
        <v>67</v>
      </c>
      <c r="H33" s="34"/>
      <c r="I33" s="34"/>
    </row>
    <row r="34" spans="1:9" x14ac:dyDescent="0.25">
      <c r="A34" s="35"/>
      <c r="B34" s="36" t="s">
        <v>68</v>
      </c>
      <c r="C34" s="34">
        <f>C32-C33</f>
        <v>2066297</v>
      </c>
      <c r="D34" s="34"/>
      <c r="E34" s="34"/>
      <c r="F34" s="34"/>
      <c r="G34" s="34"/>
      <c r="H34" s="34"/>
      <c r="I34" s="34"/>
    </row>
    <row r="35" spans="1:9" ht="15.75" x14ac:dyDescent="0.25">
      <c r="A35" s="35"/>
      <c r="B35" s="38" t="s">
        <v>69</v>
      </c>
      <c r="C35" s="34">
        <f>249+258+308+264+235+204+217+173+183+206+150+136</f>
        <v>2583</v>
      </c>
      <c r="D35" s="34"/>
      <c r="E35" s="34"/>
      <c r="F35" s="37"/>
      <c r="G35" s="37"/>
      <c r="H35" s="37"/>
      <c r="I35" s="37"/>
    </row>
    <row r="36" spans="1:9" ht="15.75" x14ac:dyDescent="0.25">
      <c r="A36" s="35"/>
      <c r="B36" s="39" t="s">
        <v>4</v>
      </c>
      <c r="C36" s="38"/>
      <c r="D36" s="34"/>
      <c r="E36" s="34"/>
      <c r="F36" s="37"/>
      <c r="G36" s="37"/>
      <c r="H36" s="37"/>
      <c r="I36" s="37"/>
    </row>
    <row r="37" spans="1:9" ht="15.75" x14ac:dyDescent="0.25">
      <c r="A37" s="35"/>
      <c r="B37" s="39" t="s">
        <v>70</v>
      </c>
      <c r="C37" s="34">
        <f>149+174+216+192+155+108+77+69+66+92+77+76</f>
        <v>1451</v>
      </c>
      <c r="D37" s="37"/>
      <c r="E37" s="37"/>
      <c r="F37" s="37"/>
      <c r="G37" s="37"/>
      <c r="H37" s="37"/>
      <c r="I37" s="37"/>
    </row>
    <row r="38" spans="1:9" ht="15.75" x14ac:dyDescent="0.25">
      <c r="A38" s="35"/>
      <c r="B38" s="39" t="s">
        <v>71</v>
      </c>
      <c r="C38" s="34">
        <f>100+84+92+72+80+96+140+104+117+114+73+60</f>
        <v>1132</v>
      </c>
      <c r="D38" s="37"/>
      <c r="E38" s="37"/>
      <c r="F38" s="37"/>
      <c r="G38" s="37"/>
      <c r="H38" s="37"/>
      <c r="I38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EDDE0-3FA5-4E05-87C8-73A2F5FB5BCA}">
  <dimension ref="A1:I38"/>
  <sheetViews>
    <sheetView workbookViewId="0">
      <selection activeCell="B38" sqref="B38"/>
    </sheetView>
  </sheetViews>
  <sheetFormatPr defaultRowHeight="15" x14ac:dyDescent="0.25"/>
  <cols>
    <col min="2" max="2" width="51.7109375" bestFit="1" customWidth="1"/>
  </cols>
  <sheetData>
    <row r="1" spans="1:9" ht="15.75" x14ac:dyDescent="0.25">
      <c r="A1" s="1" t="s">
        <v>0</v>
      </c>
      <c r="B1" s="2"/>
      <c r="C1" s="2"/>
      <c r="D1" s="2"/>
      <c r="E1" s="2"/>
      <c r="F1" s="3"/>
      <c r="G1" s="2"/>
      <c r="H1" s="2"/>
      <c r="I1" s="3"/>
    </row>
    <row r="2" spans="1:9" ht="15.75" x14ac:dyDescent="0.25">
      <c r="A2" s="4"/>
      <c r="B2" s="5" t="s">
        <v>1</v>
      </c>
      <c r="C2" s="2"/>
      <c r="D2" s="2"/>
      <c r="E2" s="2"/>
      <c r="F2" s="3"/>
      <c r="G2" s="2"/>
      <c r="H2" s="2"/>
      <c r="I2" s="3"/>
    </row>
    <row r="3" spans="1:9" ht="15.75" x14ac:dyDescent="0.25">
      <c r="A3" s="6" t="s">
        <v>2</v>
      </c>
      <c r="B3" s="6"/>
      <c r="C3" s="6"/>
      <c r="D3" s="6"/>
      <c r="E3" s="6"/>
      <c r="F3" s="6"/>
      <c r="G3" s="6"/>
      <c r="H3" s="6"/>
      <c r="I3" s="6"/>
    </row>
    <row r="4" spans="1:9" x14ac:dyDescent="0.25">
      <c r="A4" s="7" t="s">
        <v>3</v>
      </c>
      <c r="B4" s="8"/>
      <c r="C4" s="8"/>
      <c r="D4" s="9" t="s">
        <v>4</v>
      </c>
      <c r="E4" s="10"/>
      <c r="F4" s="11"/>
      <c r="G4" s="10"/>
      <c r="H4" s="10"/>
      <c r="I4" s="12"/>
    </row>
    <row r="5" spans="1:9" x14ac:dyDescent="0.25">
      <c r="A5" s="13" t="s">
        <v>5</v>
      </c>
      <c r="B5" s="14" t="s">
        <v>6</v>
      </c>
      <c r="C5" s="15" t="s">
        <v>7</v>
      </c>
      <c r="D5" s="16" t="s">
        <v>8</v>
      </c>
      <c r="E5" s="17"/>
      <c r="F5" s="17"/>
      <c r="G5" s="18" t="s">
        <v>9</v>
      </c>
      <c r="H5" s="17"/>
      <c r="I5" s="17"/>
    </row>
    <row r="6" spans="1:9" x14ac:dyDescent="0.25">
      <c r="A6" s="19" t="s">
        <v>10</v>
      </c>
      <c r="B6" s="20"/>
      <c r="C6" s="20"/>
      <c r="D6" s="21" t="s">
        <v>11</v>
      </c>
      <c r="E6" s="21" t="s">
        <v>12</v>
      </c>
      <c r="F6" s="21" t="s">
        <v>13</v>
      </c>
      <c r="G6" s="21" t="s">
        <v>14</v>
      </c>
      <c r="H6" s="21" t="s">
        <v>12</v>
      </c>
      <c r="I6" s="21" t="s">
        <v>13</v>
      </c>
    </row>
    <row r="7" spans="1:9" x14ac:dyDescent="0.25">
      <c r="A7" s="21">
        <v>0</v>
      </c>
      <c r="B7" s="22" t="s">
        <v>15</v>
      </c>
      <c r="C7" s="23">
        <f>10015+14194+6115+18190+23645+22737+37288+45076+44755+27455+21066+19297</f>
        <v>289833</v>
      </c>
      <c r="D7" s="24">
        <f>8540+19555+26823+22457+6347+6225+9516</f>
        <v>99463</v>
      </c>
      <c r="E7" s="24"/>
      <c r="F7" s="24">
        <f>522+572+3913+2896+1427+1501+2212+2938+904+889</f>
        <v>17774</v>
      </c>
      <c r="G7" s="24">
        <f>9493+13622+2202+13250+13678+19459+17733+18252+20087+18170+13937+8892</f>
        <v>168775</v>
      </c>
      <c r="H7" s="24"/>
      <c r="I7" s="24">
        <f>2044+1777</f>
        <v>3821</v>
      </c>
    </row>
    <row r="8" spans="1:9" x14ac:dyDescent="0.25">
      <c r="A8" s="21" t="s">
        <v>16</v>
      </c>
      <c r="B8" s="25" t="s">
        <v>17</v>
      </c>
      <c r="C8" s="24"/>
      <c r="D8" s="24"/>
      <c r="E8" s="24"/>
      <c r="F8" s="24"/>
      <c r="G8" s="24"/>
      <c r="H8" s="24"/>
      <c r="I8" s="24"/>
    </row>
    <row r="9" spans="1:9" x14ac:dyDescent="0.25">
      <c r="A9" s="21" t="s">
        <v>18</v>
      </c>
      <c r="B9" s="26" t="s">
        <v>19</v>
      </c>
      <c r="C9" s="24"/>
      <c r="D9" s="24"/>
      <c r="E9" s="24"/>
      <c r="F9" s="24"/>
      <c r="G9" s="24"/>
      <c r="H9" s="24"/>
      <c r="I9" s="24"/>
    </row>
    <row r="10" spans="1:9" x14ac:dyDescent="0.25">
      <c r="A10" s="21" t="s">
        <v>20</v>
      </c>
      <c r="B10" s="25" t="s">
        <v>21</v>
      </c>
      <c r="C10" s="24"/>
      <c r="D10" s="24"/>
      <c r="E10" s="24"/>
      <c r="F10" s="24"/>
      <c r="G10" s="24"/>
      <c r="H10" s="24"/>
      <c r="I10" s="24"/>
    </row>
    <row r="11" spans="1:9" x14ac:dyDescent="0.25">
      <c r="A11" s="21" t="s">
        <v>22</v>
      </c>
      <c r="B11" s="27" t="s">
        <v>23</v>
      </c>
      <c r="C11" s="24"/>
      <c r="D11" s="24"/>
      <c r="E11" s="24"/>
      <c r="F11" s="24"/>
      <c r="G11" s="24"/>
      <c r="H11" s="24"/>
      <c r="I11" s="24"/>
    </row>
    <row r="12" spans="1:9" x14ac:dyDescent="0.25">
      <c r="A12" s="21" t="s">
        <v>24</v>
      </c>
      <c r="B12" s="25" t="s">
        <v>25</v>
      </c>
      <c r="C12" s="24"/>
      <c r="D12" s="24"/>
      <c r="E12" s="24"/>
      <c r="F12" s="24"/>
      <c r="G12" s="24"/>
      <c r="H12" s="24"/>
      <c r="I12" s="24"/>
    </row>
    <row r="13" spans="1:9" x14ac:dyDescent="0.25">
      <c r="A13" s="21" t="s">
        <v>26</v>
      </c>
      <c r="B13" s="25" t="s">
        <v>27</v>
      </c>
      <c r="C13" s="24"/>
      <c r="D13" s="24"/>
      <c r="E13" s="24"/>
      <c r="F13" s="24"/>
      <c r="G13" s="24"/>
      <c r="H13" s="24"/>
      <c r="I13" s="24"/>
    </row>
    <row r="14" spans="1:9" x14ac:dyDescent="0.25">
      <c r="A14" s="21" t="s">
        <v>28</v>
      </c>
      <c r="B14" s="27" t="s">
        <v>29</v>
      </c>
      <c r="C14" s="28">
        <f>5000+4404+2202+5006+5002+10693+8345+11225+6818+1102+800+1412</f>
        <v>62009</v>
      </c>
      <c r="D14" s="28"/>
      <c r="E14" s="28"/>
      <c r="F14" s="29"/>
      <c r="G14" s="28">
        <f>5000+4404+2202+5006+5002+10693+8345+11225+6818+1102+800+1412</f>
        <v>62009</v>
      </c>
      <c r="H14" s="28"/>
      <c r="I14" s="28"/>
    </row>
    <row r="15" spans="1:9" ht="27" x14ac:dyDescent="0.25">
      <c r="A15" s="21" t="s">
        <v>30</v>
      </c>
      <c r="B15" s="25" t="s">
        <v>31</v>
      </c>
      <c r="C15" s="24">
        <f>3759+6574+8766+9388+7028+13268+14931+13137+7480</f>
        <v>84331</v>
      </c>
      <c r="D15" s="24"/>
      <c r="E15" s="24"/>
      <c r="F15" s="24"/>
      <c r="G15" s="24">
        <f>3759+6574+8766+9388+7028+13268+14931+13137+7480</f>
        <v>84331</v>
      </c>
      <c r="H15" s="24"/>
      <c r="I15" s="24"/>
    </row>
    <row r="16" spans="1:9" x14ac:dyDescent="0.25">
      <c r="A16" s="21" t="s">
        <v>32</v>
      </c>
      <c r="B16" s="25" t="s">
        <v>33</v>
      </c>
      <c r="C16" s="24">
        <f>522+572+3913+2896+1427+2212+2938+904+889</f>
        <v>16273</v>
      </c>
      <c r="D16" s="24"/>
      <c r="E16" s="24"/>
      <c r="F16" s="24">
        <f>522+572+3913+2896+1427+2212+2938+904+889</f>
        <v>16273</v>
      </c>
      <c r="G16" s="24"/>
      <c r="H16" s="24"/>
      <c r="I16" s="24"/>
    </row>
    <row r="17" spans="1:9" x14ac:dyDescent="0.25">
      <c r="A17" s="21" t="s">
        <v>34</v>
      </c>
      <c r="B17" s="25" t="s">
        <v>35</v>
      </c>
      <c r="C17" s="24">
        <f>4493+9218</f>
        <v>13711</v>
      </c>
      <c r="D17" s="24"/>
      <c r="E17" s="24"/>
      <c r="F17" s="24"/>
      <c r="G17" s="24">
        <f>4493+9218</f>
        <v>13711</v>
      </c>
      <c r="H17" s="24"/>
      <c r="I17" s="24"/>
    </row>
    <row r="18" spans="1:9" ht="27" x14ac:dyDescent="0.25">
      <c r="A18" s="21" t="s">
        <v>36</v>
      </c>
      <c r="B18" s="27" t="s">
        <v>37</v>
      </c>
      <c r="C18" s="24"/>
      <c r="D18" s="24"/>
      <c r="E18" s="24"/>
      <c r="F18" s="24"/>
      <c r="G18" s="24"/>
      <c r="H18" s="24"/>
      <c r="I18" s="24"/>
    </row>
    <row r="19" spans="1:9" x14ac:dyDescent="0.25">
      <c r="A19" s="21" t="s">
        <v>38</v>
      </c>
      <c r="B19" s="25" t="s">
        <v>39</v>
      </c>
      <c r="C19" s="24"/>
      <c r="D19" s="24"/>
      <c r="E19" s="24"/>
      <c r="F19" s="24"/>
      <c r="G19" s="24"/>
      <c r="H19" s="24"/>
      <c r="I19" s="24"/>
    </row>
    <row r="20" spans="1:9" x14ac:dyDescent="0.25">
      <c r="A20" s="21" t="s">
        <v>40</v>
      </c>
      <c r="B20" s="25" t="s">
        <v>41</v>
      </c>
      <c r="C20" s="24">
        <f>4485+10642+19555+26823+22457+8484+6225+9516</f>
        <v>108187</v>
      </c>
      <c r="D20" s="24">
        <f>8540+19555+26823+22457+6347+6225+9516</f>
        <v>99463</v>
      </c>
      <c r="E20" s="24"/>
      <c r="F20" s="24"/>
      <c r="G20" s="24">
        <f>4485+2102+2137</f>
        <v>8724</v>
      </c>
      <c r="H20" s="24"/>
      <c r="I20" s="24"/>
    </row>
    <row r="21" spans="1:9" x14ac:dyDescent="0.25">
      <c r="A21" s="21" t="s">
        <v>42</v>
      </c>
      <c r="B21" s="25" t="s">
        <v>43</v>
      </c>
      <c r="C21" s="24"/>
      <c r="D21" s="24"/>
      <c r="E21" s="24"/>
      <c r="F21" s="24"/>
      <c r="G21" s="24"/>
      <c r="H21" s="24"/>
      <c r="I21" s="24"/>
    </row>
    <row r="22" spans="1:9" x14ac:dyDescent="0.25">
      <c r="A22" s="21" t="s">
        <v>44</v>
      </c>
      <c r="B22" s="25" t="s">
        <v>45</v>
      </c>
      <c r="C22" s="24"/>
      <c r="D22" s="24"/>
      <c r="E22" s="24"/>
      <c r="F22" s="24"/>
      <c r="G22" s="24"/>
      <c r="H22" s="24"/>
      <c r="I22" s="24"/>
    </row>
    <row r="23" spans="1:9" x14ac:dyDescent="0.25">
      <c r="A23" s="21" t="s">
        <v>46</v>
      </c>
      <c r="B23" s="25" t="s">
        <v>47</v>
      </c>
      <c r="C23" s="24"/>
      <c r="D23" s="24"/>
      <c r="E23" s="24"/>
      <c r="F23" s="24"/>
      <c r="G23" s="24"/>
      <c r="H23" s="24"/>
      <c r="I23" s="24"/>
    </row>
    <row r="24" spans="1:9" x14ac:dyDescent="0.25">
      <c r="A24" s="21" t="s">
        <v>48</v>
      </c>
      <c r="B24" s="25" t="s">
        <v>49</v>
      </c>
      <c r="C24" s="24"/>
      <c r="D24" s="24"/>
      <c r="E24" s="24"/>
      <c r="F24" s="24"/>
      <c r="G24" s="24"/>
      <c r="H24" s="24"/>
      <c r="I24" s="24"/>
    </row>
    <row r="25" spans="1:9" x14ac:dyDescent="0.25">
      <c r="A25" s="21" t="s">
        <v>50</v>
      </c>
      <c r="B25" s="25" t="s">
        <v>51</v>
      </c>
      <c r="C25" s="24"/>
      <c r="D25" s="24"/>
      <c r="E25" s="24"/>
      <c r="F25" s="24"/>
      <c r="G25" s="24"/>
      <c r="H25" s="24"/>
      <c r="I25" s="24"/>
    </row>
    <row r="26" spans="1:9" x14ac:dyDescent="0.25">
      <c r="A26" s="21" t="s">
        <v>52</v>
      </c>
      <c r="B26" s="25" t="s">
        <v>53</v>
      </c>
      <c r="C26" s="24"/>
      <c r="D26" s="24"/>
      <c r="E26" s="24"/>
      <c r="F26" s="30"/>
      <c r="G26" s="24"/>
      <c r="H26" s="24"/>
      <c r="I26" s="24"/>
    </row>
    <row r="27" spans="1:9" x14ac:dyDescent="0.25">
      <c r="A27" s="21" t="s">
        <v>54</v>
      </c>
      <c r="B27" s="25" t="s">
        <v>55</v>
      </c>
      <c r="C27" s="24">
        <f>3278</f>
        <v>3278</v>
      </c>
      <c r="D27" s="24"/>
      <c r="E27" s="24"/>
      <c r="F27" s="24">
        <f>1501</f>
        <v>1501</v>
      </c>
      <c r="G27" s="24"/>
      <c r="H27" s="24"/>
      <c r="I27" s="24">
        <f>1777</f>
        <v>1777</v>
      </c>
    </row>
    <row r="28" spans="1:9" x14ac:dyDescent="0.25">
      <c r="A28" s="21" t="s">
        <v>56</v>
      </c>
      <c r="B28" s="25" t="s">
        <v>57</v>
      </c>
      <c r="C28" s="24"/>
      <c r="D28" s="24"/>
      <c r="E28" s="24"/>
      <c r="F28" s="24"/>
      <c r="G28" s="24"/>
      <c r="H28" s="24"/>
      <c r="I28" s="24"/>
    </row>
    <row r="29" spans="1:9" x14ac:dyDescent="0.25">
      <c r="A29" s="21" t="s">
        <v>58</v>
      </c>
      <c r="B29" s="25" t="s">
        <v>59</v>
      </c>
      <c r="C29" s="24"/>
      <c r="D29" s="24"/>
      <c r="E29" s="24"/>
      <c r="F29" s="24"/>
      <c r="G29" s="24"/>
      <c r="H29" s="24"/>
      <c r="I29" s="24"/>
    </row>
    <row r="30" spans="1:9" x14ac:dyDescent="0.25">
      <c r="A30" s="21" t="s">
        <v>60</v>
      </c>
      <c r="B30" s="27" t="s">
        <v>61</v>
      </c>
      <c r="C30" s="24">
        <f>2044</f>
        <v>2044</v>
      </c>
      <c r="D30" s="24"/>
      <c r="E30" s="24"/>
      <c r="F30" s="24"/>
      <c r="G30" s="24"/>
      <c r="H30" s="24"/>
      <c r="I30" s="24">
        <f>2044</f>
        <v>2044</v>
      </c>
    </row>
    <row r="31" spans="1:9" x14ac:dyDescent="0.25">
      <c r="A31" s="21" t="s">
        <v>62</v>
      </c>
      <c r="B31" s="25" t="s">
        <v>63</v>
      </c>
      <c r="C31" s="24"/>
      <c r="D31" s="24"/>
      <c r="E31" s="24"/>
      <c r="F31" s="24"/>
      <c r="G31" s="24"/>
      <c r="H31" s="24"/>
      <c r="I31" s="24"/>
    </row>
    <row r="32" spans="1:9" x14ac:dyDescent="0.25">
      <c r="A32" s="31"/>
      <c r="B32" s="41" t="s">
        <v>64</v>
      </c>
      <c r="C32" s="42">
        <f>SUM(C8:C31)</f>
        <v>289833</v>
      </c>
      <c r="D32" s="43"/>
      <c r="E32" s="43"/>
      <c r="F32" s="43"/>
      <c r="G32" s="43" t="s">
        <v>65</v>
      </c>
      <c r="H32" s="43"/>
      <c r="I32" s="43"/>
    </row>
    <row r="33" spans="1:9" x14ac:dyDescent="0.25">
      <c r="A33" s="35"/>
      <c r="B33" s="44" t="s">
        <v>66</v>
      </c>
      <c r="C33" s="43">
        <f>E7+H7</f>
        <v>0</v>
      </c>
      <c r="D33" s="43"/>
      <c r="E33" s="43"/>
      <c r="F33" s="43"/>
      <c r="G33" s="43" t="s">
        <v>67</v>
      </c>
      <c r="H33" s="43"/>
      <c r="I33" s="43"/>
    </row>
    <row r="34" spans="1:9" x14ac:dyDescent="0.25">
      <c r="A34" s="35"/>
      <c r="B34" s="44" t="s">
        <v>68</v>
      </c>
      <c r="C34" s="43">
        <f>C32-C33</f>
        <v>289833</v>
      </c>
      <c r="D34" s="43"/>
      <c r="E34" s="43"/>
      <c r="F34" s="45"/>
      <c r="G34" s="43"/>
      <c r="H34" s="43"/>
      <c r="I34" s="43"/>
    </row>
    <row r="35" spans="1:9" x14ac:dyDescent="0.25">
      <c r="A35" s="35"/>
      <c r="B35" s="46" t="s">
        <v>69</v>
      </c>
      <c r="C35" s="43">
        <f>9+11+7+18+24+22+29+38+41+23+18+16</f>
        <v>256</v>
      </c>
      <c r="D35" s="43"/>
      <c r="E35" s="43"/>
      <c r="F35" s="45"/>
      <c r="G35" s="45"/>
      <c r="H35" s="45"/>
      <c r="I35" s="45"/>
    </row>
    <row r="36" spans="1:9" x14ac:dyDescent="0.25">
      <c r="A36" s="35"/>
      <c r="B36" s="47" t="s">
        <v>4</v>
      </c>
      <c r="C36" s="46"/>
      <c r="D36" s="43"/>
      <c r="E36" s="43"/>
      <c r="F36" s="45"/>
      <c r="G36" s="45"/>
      <c r="H36" s="45"/>
      <c r="I36" s="45"/>
    </row>
    <row r="37" spans="1:9" x14ac:dyDescent="0.25">
      <c r="A37" s="35"/>
      <c r="B37" s="47" t="s">
        <v>70</v>
      </c>
      <c r="C37" s="43">
        <f>1+1+4+5+2+9+4+5+0+4+1+1</f>
        <v>37</v>
      </c>
      <c r="D37" s="45"/>
      <c r="E37" s="45"/>
      <c r="F37" s="45"/>
      <c r="G37" s="45"/>
      <c r="H37" s="45"/>
      <c r="I37" s="45"/>
    </row>
    <row r="38" spans="1:9" x14ac:dyDescent="0.25">
      <c r="A38" s="35"/>
      <c r="B38" s="47" t="s">
        <v>71</v>
      </c>
      <c r="C38" s="43">
        <f>8+10+3+13+22+13+25+33+41+19+17+15</f>
        <v>219</v>
      </c>
      <c r="D38" s="45"/>
      <c r="E38" s="45"/>
      <c r="F38" s="45"/>
      <c r="G38" s="45"/>
      <c r="H38" s="45"/>
      <c r="I38" s="4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B7BCC-23E9-4256-B4F9-5B0ECF173764}">
  <dimension ref="A1:I38"/>
  <sheetViews>
    <sheetView workbookViewId="0">
      <selection activeCell="K27" sqref="K27"/>
    </sheetView>
  </sheetViews>
  <sheetFormatPr defaultRowHeight="15" x14ac:dyDescent="0.25"/>
  <cols>
    <col min="2" max="2" width="43.28515625" bestFit="1" customWidth="1"/>
  </cols>
  <sheetData>
    <row r="1" spans="1:9" x14ac:dyDescent="0.25">
      <c r="A1" s="69" t="s">
        <v>0</v>
      </c>
      <c r="B1" s="70"/>
      <c r="C1" s="70"/>
      <c r="D1" s="70"/>
      <c r="E1" s="70"/>
      <c r="F1" s="71"/>
      <c r="G1" s="70"/>
      <c r="H1" s="70"/>
      <c r="I1" s="72"/>
    </row>
    <row r="2" spans="1:9" x14ac:dyDescent="0.25">
      <c r="A2" s="31"/>
      <c r="B2" s="73" t="s">
        <v>77</v>
      </c>
      <c r="C2" s="70"/>
      <c r="D2" s="70"/>
      <c r="E2" s="70"/>
      <c r="F2" s="71"/>
      <c r="G2" s="70"/>
      <c r="H2" s="70"/>
      <c r="I2" s="72"/>
    </row>
    <row r="3" spans="1:9" x14ac:dyDescent="0.25">
      <c r="A3" s="74" t="s">
        <v>2</v>
      </c>
      <c r="B3" s="74"/>
      <c r="C3" s="75"/>
      <c r="D3" s="74"/>
      <c r="E3" s="74"/>
      <c r="F3" s="74"/>
      <c r="G3" s="74"/>
      <c r="H3" s="74"/>
      <c r="I3" s="75"/>
    </row>
    <row r="4" spans="1:9" x14ac:dyDescent="0.25">
      <c r="A4" s="76"/>
      <c r="B4" s="76"/>
      <c r="C4" s="76"/>
      <c r="D4" s="76"/>
      <c r="E4" s="76"/>
      <c r="F4" s="76"/>
      <c r="G4" s="76"/>
      <c r="H4" s="76"/>
      <c r="I4" s="77"/>
    </row>
    <row r="5" spans="1:9" x14ac:dyDescent="0.25">
      <c r="A5" s="7" t="s">
        <v>3</v>
      </c>
      <c r="B5" s="8"/>
      <c r="C5" s="8"/>
      <c r="D5" s="9" t="s">
        <v>4</v>
      </c>
      <c r="E5" s="10"/>
      <c r="F5" s="11"/>
      <c r="G5" s="10"/>
      <c r="H5" s="10"/>
      <c r="I5" s="12"/>
    </row>
    <row r="6" spans="1:9" x14ac:dyDescent="0.25">
      <c r="A6" s="13" t="s">
        <v>5</v>
      </c>
      <c r="B6" s="14" t="s">
        <v>6</v>
      </c>
      <c r="C6" s="15" t="s">
        <v>7</v>
      </c>
      <c r="D6" s="78" t="s">
        <v>8</v>
      </c>
      <c r="E6" s="79"/>
      <c r="F6" s="79"/>
      <c r="G6" s="80" t="s">
        <v>9</v>
      </c>
      <c r="H6" s="79"/>
      <c r="I6" s="79"/>
    </row>
    <row r="7" spans="1:9" x14ac:dyDescent="0.25">
      <c r="A7" s="21" t="s">
        <v>10</v>
      </c>
      <c r="B7" s="24"/>
      <c r="C7" s="24"/>
      <c r="D7" s="21" t="s">
        <v>11</v>
      </c>
      <c r="E7" s="21" t="s">
        <v>12</v>
      </c>
      <c r="F7" s="21" t="s">
        <v>13</v>
      </c>
      <c r="G7" s="21" t="s">
        <v>14</v>
      </c>
      <c r="H7" s="21" t="s">
        <v>12</v>
      </c>
      <c r="I7" s="21" t="s">
        <v>13</v>
      </c>
    </row>
    <row r="8" spans="1:9" x14ac:dyDescent="0.25">
      <c r="A8" s="21">
        <v>0</v>
      </c>
      <c r="B8" s="22" t="s">
        <v>15</v>
      </c>
      <c r="C8" s="81">
        <f>32964+32840+38162+30399+43336+51009+61974+55928+64949+73263+51072+31200</f>
        <v>567096</v>
      </c>
      <c r="D8" s="82">
        <f>17298+12589+15637+11334+10808+21624+44585+48232+43617+48772+27275+13135</f>
        <v>314906</v>
      </c>
      <c r="E8" s="81"/>
      <c r="F8" s="81">
        <f>1850+3191+3724+4769+4713+2738+2171+4762+2664+2534</f>
        <v>33116</v>
      </c>
      <c r="G8" s="81">
        <f>13816+17060+18801+14296+27815+26647+17389+7696+19161+19729+21133+15531</f>
        <v>219074</v>
      </c>
      <c r="H8" s="81"/>
      <c r="I8" s="81"/>
    </row>
    <row r="9" spans="1:9" x14ac:dyDescent="0.25">
      <c r="A9" s="21" t="s">
        <v>16</v>
      </c>
      <c r="B9" s="25" t="s">
        <v>17</v>
      </c>
      <c r="C9" s="81"/>
      <c r="D9" s="81"/>
      <c r="E9" s="81"/>
      <c r="F9" s="81"/>
      <c r="G9" s="81"/>
      <c r="H9" s="81"/>
      <c r="I9" s="81"/>
    </row>
    <row r="10" spans="1:9" x14ac:dyDescent="0.25">
      <c r="A10" s="21" t="s">
        <v>18</v>
      </c>
      <c r="B10" s="26" t="s">
        <v>19</v>
      </c>
      <c r="C10" s="81"/>
      <c r="D10" s="81"/>
      <c r="E10" s="81"/>
      <c r="F10" s="81"/>
      <c r="G10" s="81"/>
      <c r="H10" s="81"/>
      <c r="I10" s="81"/>
    </row>
    <row r="11" spans="1:9" x14ac:dyDescent="0.25">
      <c r="A11" s="21" t="s">
        <v>20</v>
      </c>
      <c r="B11" s="25" t="s">
        <v>21</v>
      </c>
      <c r="C11" s="81"/>
      <c r="D11" s="81"/>
      <c r="E11" s="81"/>
      <c r="F11" s="81"/>
      <c r="G11" s="81"/>
      <c r="H11" s="81"/>
      <c r="I11" s="81"/>
    </row>
    <row r="12" spans="1:9" x14ac:dyDescent="0.25">
      <c r="A12" s="21" t="s">
        <v>22</v>
      </c>
      <c r="B12" s="27" t="s">
        <v>23</v>
      </c>
      <c r="C12" s="81"/>
      <c r="D12" s="81"/>
      <c r="E12" s="81"/>
      <c r="F12" s="81"/>
      <c r="G12" s="81"/>
      <c r="H12" s="81"/>
      <c r="I12" s="81"/>
    </row>
    <row r="13" spans="1:9" x14ac:dyDescent="0.25">
      <c r="A13" s="21" t="s">
        <v>24</v>
      </c>
      <c r="B13" s="25" t="s">
        <v>25</v>
      </c>
      <c r="C13" s="81"/>
      <c r="D13" s="81"/>
      <c r="E13" s="81"/>
      <c r="F13" s="81"/>
      <c r="G13" s="81"/>
      <c r="H13" s="81"/>
      <c r="I13" s="81"/>
    </row>
    <row r="14" spans="1:9" x14ac:dyDescent="0.25">
      <c r="A14" s="21" t="s">
        <v>26</v>
      </c>
      <c r="B14" s="25" t="s">
        <v>27</v>
      </c>
      <c r="C14" s="81"/>
      <c r="D14" s="81"/>
      <c r="E14" s="81"/>
      <c r="F14" s="81"/>
      <c r="G14" s="81"/>
      <c r="H14" s="81"/>
      <c r="I14" s="81"/>
    </row>
    <row r="15" spans="1:9" x14ac:dyDescent="0.25">
      <c r="A15" s="21" t="s">
        <v>28</v>
      </c>
      <c r="B15" s="27" t="s">
        <v>29</v>
      </c>
      <c r="C15" s="81">
        <f>17499+374+1002+4869+1002+902+902</f>
        <v>26550</v>
      </c>
      <c r="D15" s="81">
        <f>17298</f>
        <v>17298</v>
      </c>
      <c r="E15" s="81"/>
      <c r="F15" s="81"/>
      <c r="G15" s="81">
        <f>199+376+1002+4869+1002+902+902</f>
        <v>9252</v>
      </c>
      <c r="H15" s="81"/>
      <c r="I15" s="81"/>
    </row>
    <row r="16" spans="1:9" ht="27" x14ac:dyDescent="0.25">
      <c r="A16" s="21" t="s">
        <v>30</v>
      </c>
      <c r="B16" s="25" t="s">
        <v>31</v>
      </c>
      <c r="C16" s="81">
        <f>3195+6449+7295+1538+13872+9349+10108+2663+11369+4854+9443+5680</f>
        <v>85815</v>
      </c>
      <c r="D16" s="81"/>
      <c r="E16" s="81"/>
      <c r="F16" s="81"/>
      <c r="G16" s="81">
        <f>3195+6449+7295+1538+13872+9349+10108+2663+11369+4854+9443+5680</f>
        <v>85815</v>
      </c>
      <c r="H16" s="81"/>
      <c r="I16" s="81"/>
    </row>
    <row r="17" spans="1:9" x14ac:dyDescent="0.25">
      <c r="A17" s="21" t="s">
        <v>32</v>
      </c>
      <c r="B17" s="25" t="s">
        <v>33</v>
      </c>
      <c r="C17" s="81">
        <f>1850+3191+3724+4769+4713+2738+5254+10037+10850+2664+2534</f>
        <v>52324</v>
      </c>
      <c r="D17" s="81">
        <f>5254+7866+6088</f>
        <v>19208</v>
      </c>
      <c r="E17" s="81"/>
      <c r="F17" s="81">
        <f>1850+3191+3724+4769+4713+2738+2171+4762+2664+2534</f>
        <v>33116</v>
      </c>
      <c r="G17" s="81"/>
      <c r="H17" s="81"/>
      <c r="I17" s="81"/>
    </row>
    <row r="18" spans="1:9" x14ac:dyDescent="0.25">
      <c r="A18" s="21" t="s">
        <v>34</v>
      </c>
      <c r="B18" s="25" t="s">
        <v>35</v>
      </c>
      <c r="C18" s="81"/>
      <c r="D18" s="81"/>
      <c r="E18" s="81"/>
      <c r="F18" s="81"/>
      <c r="G18" s="81"/>
      <c r="H18" s="81"/>
      <c r="I18" s="81"/>
    </row>
    <row r="19" spans="1:9" ht="27" x14ac:dyDescent="0.25">
      <c r="A19" s="21" t="s">
        <v>36</v>
      </c>
      <c r="B19" s="27" t="s">
        <v>37</v>
      </c>
      <c r="C19" s="81"/>
      <c r="D19" s="81"/>
      <c r="E19" s="81"/>
      <c r="F19" s="81"/>
      <c r="G19" s="81"/>
      <c r="H19" s="81"/>
      <c r="I19" s="81"/>
    </row>
    <row r="20" spans="1:9" x14ac:dyDescent="0.25">
      <c r="A20" s="21" t="s">
        <v>38</v>
      </c>
      <c r="B20" s="25" t="s">
        <v>39</v>
      </c>
      <c r="C20" s="81"/>
      <c r="D20" s="81"/>
      <c r="E20" s="81"/>
      <c r="F20" s="81"/>
      <c r="G20" s="81"/>
      <c r="H20" s="81"/>
      <c r="I20" s="81"/>
    </row>
    <row r="21" spans="1:9" x14ac:dyDescent="0.25">
      <c r="A21" s="21" t="s">
        <v>40</v>
      </c>
      <c r="B21" s="25" t="s">
        <v>41</v>
      </c>
      <c r="C21" s="81">
        <f>6479+17252+17750+3381+11169+7235+2102</f>
        <v>65368</v>
      </c>
      <c r="D21" s="81">
        <f>17252+17750+3381+11169+7235+2102</f>
        <v>58889</v>
      </c>
      <c r="E21" s="81"/>
      <c r="F21" s="81"/>
      <c r="G21" s="81">
        <f>6479</f>
        <v>6479</v>
      </c>
      <c r="H21" s="81"/>
      <c r="I21" s="81"/>
    </row>
    <row r="22" spans="1:9" x14ac:dyDescent="0.25">
      <c r="A22" s="21" t="s">
        <v>42</v>
      </c>
      <c r="B22" s="25" t="s">
        <v>43</v>
      </c>
      <c r="C22" s="81"/>
      <c r="D22" s="81"/>
      <c r="E22" s="81"/>
      <c r="F22" s="81"/>
      <c r="G22" s="81"/>
      <c r="H22" s="81"/>
      <c r="I22" s="81"/>
    </row>
    <row r="23" spans="1:9" x14ac:dyDescent="0.25">
      <c r="A23" s="21" t="s">
        <v>44</v>
      </c>
      <c r="B23" s="25" t="s">
        <v>45</v>
      </c>
      <c r="C23" s="81">
        <f>8413+16583+19211+14579+16747+28313+32785+28304+39260+44399+29738+20884</f>
        <v>299216</v>
      </c>
      <c r="D23" s="81">
        <f>12589+15637+11334+10808+21624+27333+25228+32370+31515+20040+11033</f>
        <v>219511</v>
      </c>
      <c r="E23" s="81"/>
      <c r="F23" s="81"/>
      <c r="G23" s="81">
        <f>8413+3994+3574+3245+5939+6689+5452+3076+6890+12884+9698+9851</f>
        <v>79705</v>
      </c>
      <c r="H23" s="81"/>
      <c r="I23" s="81"/>
    </row>
    <row r="24" spans="1:9" x14ac:dyDescent="0.25">
      <c r="A24" s="21" t="s">
        <v>46</v>
      </c>
      <c r="B24" s="25" t="s">
        <v>47</v>
      </c>
      <c r="C24" s="81"/>
      <c r="D24" s="81"/>
      <c r="E24" s="81"/>
      <c r="F24" s="81"/>
      <c r="G24" s="81"/>
      <c r="H24" s="81"/>
      <c r="I24" s="81"/>
    </row>
    <row r="25" spans="1:9" x14ac:dyDescent="0.25">
      <c r="A25" s="21" t="s">
        <v>48</v>
      </c>
      <c r="B25" s="25" t="s">
        <v>49</v>
      </c>
      <c r="C25" s="81"/>
      <c r="D25" s="81"/>
      <c r="E25" s="81"/>
      <c r="F25" s="81"/>
      <c r="G25" s="81"/>
      <c r="H25" s="81"/>
      <c r="I25" s="81"/>
    </row>
    <row r="26" spans="1:9" x14ac:dyDescent="0.25">
      <c r="A26" s="21" t="s">
        <v>50</v>
      </c>
      <c r="B26" s="25" t="s">
        <v>51</v>
      </c>
      <c r="C26" s="81">
        <f>1034+1055</f>
        <v>2089</v>
      </c>
      <c r="D26" s="81"/>
      <c r="E26" s="81"/>
      <c r="F26" s="81"/>
      <c r="G26" s="81">
        <f>1034+1055</f>
        <v>2089</v>
      </c>
      <c r="H26" s="81"/>
      <c r="I26" s="81"/>
    </row>
    <row r="27" spans="1:9" x14ac:dyDescent="0.25">
      <c r="A27" s="21" t="s">
        <v>52</v>
      </c>
      <c r="B27" s="25" t="s">
        <v>53</v>
      </c>
      <c r="C27" s="81"/>
      <c r="D27" s="81"/>
      <c r="E27" s="81"/>
      <c r="F27" s="81"/>
      <c r="G27" s="81"/>
      <c r="H27" s="81"/>
      <c r="I27" s="81"/>
    </row>
    <row r="28" spans="1:9" x14ac:dyDescent="0.25">
      <c r="A28" s="21" t="s">
        <v>54</v>
      </c>
      <c r="B28" s="25" t="s">
        <v>55</v>
      </c>
      <c r="C28" s="81"/>
      <c r="D28" s="81"/>
      <c r="E28" s="81"/>
      <c r="F28" s="81"/>
      <c r="G28" s="81"/>
      <c r="H28" s="81"/>
      <c r="I28" s="81"/>
    </row>
    <row r="29" spans="1:9" x14ac:dyDescent="0.25">
      <c r="A29" s="21" t="s">
        <v>56</v>
      </c>
      <c r="B29" s="25" t="s">
        <v>57</v>
      </c>
      <c r="C29" s="81">
        <f>2008+6242+6930+4644+7002+4130+795+1990+1993</f>
        <v>35734</v>
      </c>
      <c r="D29" s="81"/>
      <c r="E29" s="81"/>
      <c r="F29" s="81"/>
      <c r="G29" s="81">
        <f>2008+6242+6930+4644+7002+4130+795+1990+1993</f>
        <v>35734</v>
      </c>
      <c r="H29" s="81"/>
      <c r="I29" s="81"/>
    </row>
    <row r="30" spans="1:9" x14ac:dyDescent="0.25">
      <c r="A30" s="21" t="s">
        <v>58</v>
      </c>
      <c r="B30" s="25" t="s">
        <v>59</v>
      </c>
      <c r="C30" s="81"/>
      <c r="D30" s="81"/>
      <c r="E30" s="81"/>
      <c r="F30" s="81"/>
      <c r="G30" s="81"/>
      <c r="H30" s="81"/>
      <c r="I30" s="81"/>
    </row>
    <row r="31" spans="1:9" x14ac:dyDescent="0.25">
      <c r="A31" s="21" t="s">
        <v>60</v>
      </c>
      <c r="B31" s="27" t="s">
        <v>61</v>
      </c>
      <c r="C31" s="81"/>
      <c r="D31" s="81"/>
      <c r="E31" s="81"/>
      <c r="F31" s="81"/>
      <c r="G31" s="81"/>
      <c r="H31" s="81"/>
      <c r="I31" s="81"/>
    </row>
    <row r="32" spans="1:9" x14ac:dyDescent="0.25">
      <c r="A32" s="21" t="s">
        <v>62</v>
      </c>
      <c r="B32" s="25" t="s">
        <v>63</v>
      </c>
      <c r="C32" s="81"/>
      <c r="D32" s="81"/>
      <c r="E32" s="81"/>
      <c r="F32" s="81"/>
      <c r="G32" s="81"/>
      <c r="H32" s="81"/>
      <c r="I32" s="81"/>
    </row>
    <row r="33" spans="1:9" x14ac:dyDescent="0.25">
      <c r="A33" s="21" t="s">
        <v>78</v>
      </c>
      <c r="B33" s="25" t="s">
        <v>79</v>
      </c>
      <c r="C33" s="81"/>
      <c r="D33" s="81"/>
      <c r="E33" s="81"/>
      <c r="F33" s="81"/>
      <c r="G33" s="81"/>
      <c r="H33" s="81"/>
      <c r="I33" s="81"/>
    </row>
    <row r="34" spans="1:9" x14ac:dyDescent="0.25">
      <c r="A34" s="7"/>
      <c r="B34" s="83"/>
      <c r="C34" s="84">
        <f>SUM(C9:C33)</f>
        <v>567096</v>
      </c>
      <c r="D34" s="84">
        <f>SUM(D9:D33)</f>
        <v>314906</v>
      </c>
      <c r="E34" s="84"/>
      <c r="F34" s="84">
        <f>SUM(F9:F33)</f>
        <v>33116</v>
      </c>
      <c r="G34" s="84">
        <f>SUM(G9:G33)</f>
        <v>219074</v>
      </c>
      <c r="H34" s="84"/>
      <c r="I34" s="84">
        <f>SUM(I9:I33)</f>
        <v>0</v>
      </c>
    </row>
    <row r="35" spans="1:9" x14ac:dyDescent="0.25">
      <c r="A35" s="69" t="s">
        <v>5</v>
      </c>
      <c r="B35" s="85" t="s">
        <v>69</v>
      </c>
      <c r="C35" s="85">
        <f>28+30+37+32+46+76+63+61+68+49+28</f>
        <v>518</v>
      </c>
      <c r="D35" s="42"/>
      <c r="E35" s="42"/>
      <c r="F35" s="42"/>
      <c r="G35" s="42" t="s">
        <v>65</v>
      </c>
      <c r="H35" s="42"/>
      <c r="I35" s="42"/>
    </row>
    <row r="36" spans="1:9" x14ac:dyDescent="0.25">
      <c r="A36" s="31"/>
      <c r="B36" s="86" t="s">
        <v>4</v>
      </c>
      <c r="C36" s="42"/>
      <c r="D36" s="42"/>
      <c r="E36" s="42"/>
      <c r="F36" s="42"/>
      <c r="G36" s="42" t="s">
        <v>67</v>
      </c>
      <c r="H36" s="42"/>
      <c r="I36" s="42"/>
    </row>
    <row r="37" spans="1:9" x14ac:dyDescent="0.25">
      <c r="A37" s="31"/>
      <c r="B37" s="86" t="s">
        <v>70</v>
      </c>
      <c r="C37" s="42">
        <f>15+14+24+19+14+11+14+19+24+20+20</f>
        <v>194</v>
      </c>
      <c r="D37" s="42"/>
      <c r="E37" s="42"/>
      <c r="F37" s="42"/>
      <c r="G37" s="42"/>
      <c r="H37" s="42"/>
      <c r="I37" s="42"/>
    </row>
    <row r="38" spans="1:9" ht="16.5" x14ac:dyDescent="0.3">
      <c r="A38" s="31"/>
      <c r="B38" s="86" t="s">
        <v>71</v>
      </c>
      <c r="C38" s="87">
        <f>13+16+13+13+32+65+49+42+44+29+8</f>
        <v>324</v>
      </c>
      <c r="D38" s="88"/>
      <c r="E38" s="88"/>
      <c r="F38" s="88"/>
      <c r="G38" s="88"/>
      <c r="H38" s="88"/>
      <c r="I38" s="8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8F5C-C329-4147-96E3-6605FE5BD3C8}">
  <dimension ref="A1:I39"/>
  <sheetViews>
    <sheetView workbookViewId="0">
      <selection activeCell="L10" sqref="L10"/>
    </sheetView>
  </sheetViews>
  <sheetFormatPr defaultRowHeight="15" x14ac:dyDescent="0.25"/>
  <cols>
    <col min="2" max="2" width="52.28515625" bestFit="1" customWidth="1"/>
  </cols>
  <sheetData>
    <row r="1" spans="1:9" ht="15.75" x14ac:dyDescent="0.25">
      <c r="A1" s="48" t="s">
        <v>0</v>
      </c>
      <c r="B1" s="49"/>
      <c r="C1" s="49"/>
      <c r="D1" s="49"/>
      <c r="E1" s="49"/>
      <c r="F1" s="50"/>
      <c r="G1" s="49"/>
      <c r="H1" s="49"/>
      <c r="I1" s="50"/>
    </row>
    <row r="2" spans="1:9" ht="15.75" x14ac:dyDescent="0.25">
      <c r="A2" s="51"/>
      <c r="B2" s="52" t="s">
        <v>73</v>
      </c>
      <c r="C2" s="49"/>
      <c r="D2" s="49"/>
      <c r="E2" s="49"/>
      <c r="F2" s="50"/>
      <c r="G2" s="49"/>
      <c r="H2" s="49"/>
      <c r="I2" s="50"/>
    </row>
    <row r="3" spans="1:9" ht="15.75" x14ac:dyDescent="0.25">
      <c r="A3" s="6" t="s">
        <v>2</v>
      </c>
      <c r="B3" s="6"/>
      <c r="C3" s="6"/>
      <c r="D3" s="6"/>
      <c r="E3" s="6"/>
      <c r="F3" s="6"/>
      <c r="G3" s="6"/>
      <c r="H3" s="6"/>
      <c r="I3" s="6"/>
    </row>
    <row r="4" spans="1:9" x14ac:dyDescent="0.25">
      <c r="A4" s="7" t="s">
        <v>3</v>
      </c>
      <c r="B4" s="8"/>
      <c r="C4" s="8"/>
      <c r="D4" s="9" t="s">
        <v>4</v>
      </c>
      <c r="E4" s="10"/>
      <c r="F4" s="11"/>
      <c r="G4" s="10"/>
      <c r="H4" s="10"/>
      <c r="I4" s="12"/>
    </row>
    <row r="5" spans="1:9" x14ac:dyDescent="0.25">
      <c r="A5" s="13" t="s">
        <v>5</v>
      </c>
      <c r="B5" s="14" t="s">
        <v>6</v>
      </c>
      <c r="C5" s="15" t="s">
        <v>7</v>
      </c>
      <c r="D5" s="16" t="s">
        <v>8</v>
      </c>
      <c r="E5" s="17"/>
      <c r="F5" s="17"/>
      <c r="G5" s="18" t="s">
        <v>9</v>
      </c>
      <c r="H5" s="17"/>
      <c r="I5" s="17"/>
    </row>
    <row r="6" spans="1:9" x14ac:dyDescent="0.25">
      <c r="A6" s="19" t="s">
        <v>10</v>
      </c>
      <c r="B6" s="20"/>
      <c r="C6" s="20"/>
      <c r="D6" s="21" t="s">
        <v>11</v>
      </c>
      <c r="E6" s="21" t="s">
        <v>12</v>
      </c>
      <c r="F6" s="21" t="s">
        <v>13</v>
      </c>
      <c r="G6" s="21" t="s">
        <v>14</v>
      </c>
      <c r="H6" s="21" t="s">
        <v>12</v>
      </c>
      <c r="I6" s="21" t="s">
        <v>13</v>
      </c>
    </row>
    <row r="7" spans="1:9" x14ac:dyDescent="0.25">
      <c r="A7" s="21">
        <v>0</v>
      </c>
      <c r="B7" s="22" t="s">
        <v>15</v>
      </c>
      <c r="C7" s="23">
        <f>11272+24336+30278+13997+8967+3367+11829+12351+3522+11813+8507+9225</f>
        <v>149464</v>
      </c>
      <c r="D7" s="24">
        <f>1793+1730+2539+2699</f>
        <v>8761</v>
      </c>
      <c r="E7" s="24"/>
      <c r="F7" s="24">
        <f>10168+18666+22360+12267+7937+1592+8631+3522+8014+8507+9225</f>
        <v>110889</v>
      </c>
      <c r="G7" s="24">
        <f>1104+5168+6125+1030+1775+659+12351+1100</f>
        <v>29312</v>
      </c>
      <c r="H7" s="24"/>
      <c r="I7" s="24">
        <f>502</f>
        <v>502</v>
      </c>
    </row>
    <row r="8" spans="1:9" x14ac:dyDescent="0.25">
      <c r="A8" s="21" t="s">
        <v>16</v>
      </c>
      <c r="B8" s="25" t="s">
        <v>17</v>
      </c>
      <c r="C8" s="24">
        <f>10168+18666+24153+13997+7937+1592+11170+1049+3522+10713+8507+9225</f>
        <v>120699</v>
      </c>
      <c r="D8" s="24">
        <f>1793+1730+2539+2699</f>
        <v>8761</v>
      </c>
      <c r="E8" s="24"/>
      <c r="F8" s="24">
        <f>10168+18666+22360+12267+7937+1592+8631+3522+8014+8507+9225</f>
        <v>110889</v>
      </c>
      <c r="G8" s="24">
        <f>1049</f>
        <v>1049</v>
      </c>
      <c r="H8" s="24"/>
      <c r="I8" s="24"/>
    </row>
    <row r="9" spans="1:9" x14ac:dyDescent="0.25">
      <c r="A9" s="21" t="s">
        <v>18</v>
      </c>
      <c r="B9" s="26" t="s">
        <v>19</v>
      </c>
      <c r="C9" s="24"/>
      <c r="D9" s="24"/>
      <c r="E9" s="24"/>
      <c r="F9" s="24"/>
      <c r="G9" s="24"/>
      <c r="H9" s="24"/>
      <c r="I9" s="24"/>
    </row>
    <row r="10" spans="1:9" x14ac:dyDescent="0.25">
      <c r="A10" s="21" t="s">
        <v>20</v>
      </c>
      <c r="B10" s="25" t="s">
        <v>21</v>
      </c>
      <c r="C10" s="24"/>
      <c r="D10" s="24"/>
      <c r="E10" s="24"/>
      <c r="F10" s="24"/>
      <c r="G10" s="24"/>
      <c r="H10" s="24"/>
      <c r="I10" s="24"/>
    </row>
    <row r="11" spans="1:9" x14ac:dyDescent="0.25">
      <c r="A11" s="21" t="s">
        <v>22</v>
      </c>
      <c r="B11" s="27" t="s">
        <v>23</v>
      </c>
      <c r="C11" s="24"/>
      <c r="D11" s="24"/>
      <c r="E11" s="24"/>
      <c r="F11" s="24"/>
      <c r="G11" s="24"/>
      <c r="H11" s="24"/>
      <c r="I11" s="24"/>
    </row>
    <row r="12" spans="1:9" x14ac:dyDescent="0.25">
      <c r="A12" s="21" t="s">
        <v>24</v>
      </c>
      <c r="B12" s="25" t="s">
        <v>25</v>
      </c>
      <c r="C12" s="24"/>
      <c r="D12" s="24"/>
      <c r="E12" s="24"/>
      <c r="F12" s="24"/>
      <c r="G12" s="24"/>
      <c r="H12" s="24"/>
      <c r="I12" s="24"/>
    </row>
    <row r="13" spans="1:9" x14ac:dyDescent="0.25">
      <c r="A13" s="21" t="s">
        <v>26</v>
      </c>
      <c r="B13" s="25" t="s">
        <v>27</v>
      </c>
      <c r="C13" s="24"/>
      <c r="D13" s="24"/>
      <c r="E13" s="24"/>
      <c r="F13" s="24"/>
      <c r="G13" s="24"/>
      <c r="H13" s="24"/>
      <c r="I13" s="24"/>
    </row>
    <row r="14" spans="1:9" x14ac:dyDescent="0.25">
      <c r="A14" s="21" t="s">
        <v>28</v>
      </c>
      <c r="B14" s="27" t="s">
        <v>29</v>
      </c>
      <c r="C14" s="28">
        <f>1104+5670+6125+1030+1775+659+11302+1100</f>
        <v>28765</v>
      </c>
      <c r="D14" s="28"/>
      <c r="E14" s="28"/>
      <c r="F14" s="29"/>
      <c r="G14" s="28">
        <f>1104+5168+6125+1030+1775+659+11302+1100</f>
        <v>28263</v>
      </c>
      <c r="H14" s="28"/>
      <c r="I14" s="28">
        <f>502</f>
        <v>502</v>
      </c>
    </row>
    <row r="15" spans="1:9" ht="27" x14ac:dyDescent="0.25">
      <c r="A15" s="21" t="s">
        <v>30</v>
      </c>
      <c r="B15" s="25" t="s">
        <v>31</v>
      </c>
      <c r="C15" s="24"/>
      <c r="D15" s="24"/>
      <c r="E15" s="24"/>
      <c r="F15" s="24"/>
      <c r="G15" s="24"/>
      <c r="H15" s="24"/>
      <c r="I15" s="24"/>
    </row>
    <row r="16" spans="1:9" x14ac:dyDescent="0.25">
      <c r="A16" s="21" t="s">
        <v>32</v>
      </c>
      <c r="B16" s="25" t="s">
        <v>33</v>
      </c>
      <c r="C16" s="24"/>
      <c r="D16" s="24"/>
      <c r="E16" s="24"/>
      <c r="F16" s="24"/>
      <c r="G16" s="24"/>
      <c r="H16" s="24"/>
      <c r="I16" s="24"/>
    </row>
    <row r="17" spans="1:9" x14ac:dyDescent="0.25">
      <c r="A17" s="21" t="s">
        <v>34</v>
      </c>
      <c r="B17" s="25" t="s">
        <v>35</v>
      </c>
      <c r="C17" s="24"/>
      <c r="D17" s="24"/>
      <c r="E17" s="24"/>
      <c r="F17" s="24"/>
      <c r="G17" s="24"/>
      <c r="H17" s="24"/>
      <c r="I17" s="24"/>
    </row>
    <row r="18" spans="1:9" ht="27" x14ac:dyDescent="0.25">
      <c r="A18" s="21" t="s">
        <v>36</v>
      </c>
      <c r="B18" s="27" t="s">
        <v>37</v>
      </c>
      <c r="C18" s="24"/>
      <c r="D18" s="24"/>
      <c r="E18" s="24"/>
      <c r="F18" s="24"/>
      <c r="G18" s="24"/>
      <c r="H18" s="24"/>
      <c r="I18" s="24"/>
    </row>
    <row r="19" spans="1:9" x14ac:dyDescent="0.25">
      <c r="A19" s="21" t="s">
        <v>38</v>
      </c>
      <c r="B19" s="25" t="s">
        <v>39</v>
      </c>
      <c r="C19" s="24"/>
      <c r="D19" s="24"/>
      <c r="E19" s="24"/>
      <c r="F19" s="24"/>
      <c r="G19" s="24"/>
      <c r="H19" s="24"/>
      <c r="I19" s="24"/>
    </row>
    <row r="20" spans="1:9" x14ac:dyDescent="0.25">
      <c r="A20" s="21" t="s">
        <v>40</v>
      </c>
      <c r="B20" s="25" t="s">
        <v>41</v>
      </c>
      <c r="C20" s="24"/>
      <c r="D20" s="24"/>
      <c r="E20" s="24"/>
      <c r="F20" s="24"/>
      <c r="G20" s="24"/>
      <c r="H20" s="24"/>
      <c r="I20" s="24"/>
    </row>
    <row r="21" spans="1:9" x14ac:dyDescent="0.25">
      <c r="A21" s="21" t="s">
        <v>42</v>
      </c>
      <c r="B21" s="25" t="s">
        <v>43</v>
      </c>
      <c r="C21" s="24"/>
      <c r="D21" s="24"/>
      <c r="E21" s="24"/>
      <c r="F21" s="24"/>
      <c r="G21" s="24"/>
      <c r="H21" s="24"/>
      <c r="I21" s="24"/>
    </row>
    <row r="22" spans="1:9" x14ac:dyDescent="0.25">
      <c r="A22" s="21" t="s">
        <v>44</v>
      </c>
      <c r="B22" s="25" t="s">
        <v>45</v>
      </c>
      <c r="C22" s="24"/>
      <c r="D22" s="24"/>
      <c r="E22" s="24"/>
      <c r="F22" s="24"/>
      <c r="G22" s="24"/>
      <c r="H22" s="24"/>
      <c r="I22" s="24"/>
    </row>
    <row r="23" spans="1:9" x14ac:dyDescent="0.25">
      <c r="A23" s="21" t="s">
        <v>46</v>
      </c>
      <c r="B23" s="25" t="s">
        <v>47</v>
      </c>
      <c r="C23" s="24"/>
      <c r="D23" s="24"/>
      <c r="E23" s="24"/>
      <c r="F23" s="24"/>
      <c r="G23" s="24"/>
      <c r="H23" s="24"/>
      <c r="I23" s="24"/>
    </row>
    <row r="24" spans="1:9" x14ac:dyDescent="0.25">
      <c r="A24" s="21" t="s">
        <v>48</v>
      </c>
      <c r="B24" s="25" t="s">
        <v>49</v>
      </c>
      <c r="C24" s="24"/>
      <c r="D24" s="24"/>
      <c r="E24" s="24"/>
      <c r="F24" s="24"/>
      <c r="G24" s="24"/>
      <c r="H24" s="24"/>
      <c r="I24" s="24"/>
    </row>
    <row r="25" spans="1:9" x14ac:dyDescent="0.25">
      <c r="A25" s="21" t="s">
        <v>50</v>
      </c>
      <c r="B25" s="25" t="s">
        <v>51</v>
      </c>
      <c r="C25" s="24"/>
      <c r="D25" s="24"/>
      <c r="E25" s="24"/>
      <c r="F25" s="24"/>
      <c r="G25" s="24"/>
      <c r="H25" s="24"/>
      <c r="I25" s="24"/>
    </row>
    <row r="26" spans="1:9" x14ac:dyDescent="0.25">
      <c r="A26" s="21" t="s">
        <v>52</v>
      </c>
      <c r="B26" s="25" t="s">
        <v>53</v>
      </c>
      <c r="C26" s="24"/>
      <c r="D26" s="24"/>
      <c r="E26" s="24"/>
      <c r="F26" s="30"/>
      <c r="G26" s="24"/>
      <c r="H26" s="24"/>
      <c r="I26" s="24"/>
    </row>
    <row r="27" spans="1:9" x14ac:dyDescent="0.25">
      <c r="A27" s="21" t="s">
        <v>54</v>
      </c>
      <c r="B27" s="25" t="s">
        <v>55</v>
      </c>
      <c r="C27" s="24"/>
      <c r="D27" s="24"/>
      <c r="E27" s="24"/>
      <c r="F27" s="24"/>
      <c r="G27" s="24"/>
      <c r="H27" s="24"/>
      <c r="I27" s="24"/>
    </row>
    <row r="28" spans="1:9" x14ac:dyDescent="0.25">
      <c r="A28" s="21" t="s">
        <v>56</v>
      </c>
      <c r="B28" s="25" t="s">
        <v>57</v>
      </c>
      <c r="C28" s="24"/>
      <c r="D28" s="24"/>
      <c r="E28" s="24"/>
      <c r="F28" s="24"/>
      <c r="G28" s="24"/>
      <c r="H28" s="24"/>
      <c r="I28" s="24"/>
    </row>
    <row r="29" spans="1:9" x14ac:dyDescent="0.25">
      <c r="A29" s="21" t="s">
        <v>58</v>
      </c>
      <c r="B29" s="25" t="s">
        <v>59</v>
      </c>
      <c r="C29" s="24"/>
      <c r="D29" s="24"/>
      <c r="E29" s="24"/>
      <c r="F29" s="24"/>
      <c r="G29" s="24"/>
      <c r="H29" s="24"/>
      <c r="I29" s="24"/>
    </row>
    <row r="30" spans="1:9" x14ac:dyDescent="0.25">
      <c r="A30" s="21" t="s">
        <v>60</v>
      </c>
      <c r="B30" s="27" t="s">
        <v>61</v>
      </c>
      <c r="C30" s="24"/>
      <c r="D30" s="24"/>
      <c r="E30" s="24"/>
      <c r="F30" s="24"/>
      <c r="G30" s="24"/>
      <c r="H30" s="24"/>
      <c r="I30" s="24"/>
    </row>
    <row r="31" spans="1:9" x14ac:dyDescent="0.25">
      <c r="A31" s="21" t="s">
        <v>62</v>
      </c>
      <c r="B31" s="25" t="s">
        <v>63</v>
      </c>
      <c r="C31" s="24"/>
      <c r="D31" s="24"/>
      <c r="E31" s="24"/>
      <c r="F31" s="24"/>
      <c r="G31" s="24"/>
      <c r="H31" s="24"/>
      <c r="I31" s="24"/>
    </row>
    <row r="32" spans="1:9" x14ac:dyDescent="0.25">
      <c r="A32" s="31"/>
      <c r="B32" s="32" t="s">
        <v>64</v>
      </c>
      <c r="C32" s="33">
        <f>SUM(C8:C31)</f>
        <v>149464</v>
      </c>
      <c r="D32" s="33"/>
      <c r="E32" s="33"/>
      <c r="F32" s="33"/>
      <c r="G32" s="33" t="s">
        <v>65</v>
      </c>
      <c r="H32" s="33"/>
      <c r="I32" s="33"/>
    </row>
    <row r="33" spans="1:9" x14ac:dyDescent="0.25">
      <c r="A33" s="31"/>
      <c r="B33" s="32" t="s">
        <v>66</v>
      </c>
      <c r="C33" s="33">
        <f>E7+H7</f>
        <v>0</v>
      </c>
      <c r="D33" s="33"/>
      <c r="E33" s="33"/>
      <c r="F33" s="33"/>
      <c r="G33" s="33" t="s">
        <v>67</v>
      </c>
      <c r="H33" s="33"/>
      <c r="I33" s="33"/>
    </row>
    <row r="34" spans="1:9" x14ac:dyDescent="0.25">
      <c r="A34" s="31"/>
      <c r="B34" s="32" t="s">
        <v>68</v>
      </c>
      <c r="C34" s="33">
        <f>C32-C33</f>
        <v>149464</v>
      </c>
      <c r="D34" s="33"/>
      <c r="E34" s="33"/>
      <c r="F34" s="33"/>
      <c r="G34" s="33"/>
      <c r="H34" s="33"/>
      <c r="I34" s="33"/>
    </row>
    <row r="35" spans="1:9" ht="15.75" x14ac:dyDescent="0.25">
      <c r="A35" s="31"/>
      <c r="B35" s="57"/>
      <c r="C35" s="33"/>
      <c r="D35" s="33"/>
      <c r="E35" s="33"/>
      <c r="F35" s="54"/>
      <c r="G35" s="54"/>
      <c r="H35" s="54"/>
      <c r="I35" s="54"/>
    </row>
    <row r="36" spans="1:9" ht="15.75" x14ac:dyDescent="0.25">
      <c r="A36" s="31"/>
      <c r="B36" s="53" t="s">
        <v>69</v>
      </c>
      <c r="C36" s="33">
        <f>10+24+28+12+8+3+16+16+4+13+8+7</f>
        <v>149</v>
      </c>
      <c r="D36" s="33"/>
      <c r="E36" s="33"/>
      <c r="F36" s="54"/>
      <c r="G36" s="54"/>
      <c r="H36" s="54"/>
      <c r="I36" s="54"/>
    </row>
    <row r="37" spans="1:9" ht="15.75" x14ac:dyDescent="0.25">
      <c r="A37" s="31"/>
      <c r="B37" s="55" t="s">
        <v>4</v>
      </c>
      <c r="C37" s="53"/>
      <c r="D37" s="33"/>
      <c r="E37" s="33"/>
      <c r="F37" s="54"/>
      <c r="G37" s="54"/>
      <c r="H37" s="54"/>
      <c r="I37" s="54"/>
    </row>
    <row r="38" spans="1:9" ht="15.75" x14ac:dyDescent="0.25">
      <c r="A38" s="56"/>
      <c r="B38" s="55" t="s">
        <v>70</v>
      </c>
      <c r="C38" s="33">
        <f>5+14+19+12+6+0+4+8+0+6+2+0</f>
        <v>76</v>
      </c>
      <c r="D38" s="54"/>
      <c r="E38" s="54"/>
      <c r="F38" s="54"/>
      <c r="G38" s="54"/>
      <c r="H38" s="54"/>
      <c r="I38" s="54"/>
    </row>
    <row r="39" spans="1:9" ht="15.75" x14ac:dyDescent="0.25">
      <c r="A39" s="56"/>
      <c r="B39" s="55" t="s">
        <v>71</v>
      </c>
      <c r="C39" s="33">
        <f>5+10+9+0+2+3+12+8+4+7+6+7</f>
        <v>73</v>
      </c>
      <c r="D39" s="54"/>
      <c r="E39" s="54"/>
      <c r="F39" s="54"/>
      <c r="G39" s="54"/>
      <c r="H39" s="54"/>
      <c r="I39" s="5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CC8ED-7973-4994-B9C3-4E3B4D82CB53}">
  <dimension ref="A1:I38"/>
  <sheetViews>
    <sheetView workbookViewId="0">
      <selection activeCell="D18" sqref="D18"/>
    </sheetView>
  </sheetViews>
  <sheetFormatPr defaultRowHeight="15" x14ac:dyDescent="0.25"/>
  <cols>
    <col min="2" max="2" width="51.85546875" bestFit="1" customWidth="1"/>
  </cols>
  <sheetData>
    <row r="1" spans="1:9" ht="15.75" x14ac:dyDescent="0.25">
      <c r="A1" s="48" t="s">
        <v>0</v>
      </c>
      <c r="B1" s="49"/>
      <c r="C1" s="49"/>
      <c r="D1" s="49"/>
      <c r="E1" s="49"/>
      <c r="F1" s="50"/>
      <c r="G1" s="49"/>
      <c r="H1" s="49"/>
      <c r="I1" s="50"/>
    </row>
    <row r="2" spans="1:9" ht="15.75" x14ac:dyDescent="0.25">
      <c r="A2" s="51"/>
      <c r="B2" s="52" t="s">
        <v>72</v>
      </c>
      <c r="C2" s="49"/>
      <c r="D2" s="49"/>
      <c r="E2" s="49"/>
      <c r="F2" s="50"/>
      <c r="G2" s="49"/>
      <c r="H2" s="49"/>
      <c r="I2" s="50"/>
    </row>
    <row r="3" spans="1:9" ht="15.75" x14ac:dyDescent="0.25">
      <c r="A3" s="6" t="s">
        <v>2</v>
      </c>
      <c r="B3" s="6"/>
      <c r="C3" s="6"/>
      <c r="D3" s="6"/>
      <c r="E3" s="6"/>
      <c r="F3" s="6"/>
      <c r="G3" s="6"/>
      <c r="H3" s="6"/>
      <c r="I3" s="6"/>
    </row>
    <row r="4" spans="1:9" x14ac:dyDescent="0.25">
      <c r="A4" s="7" t="s">
        <v>3</v>
      </c>
      <c r="B4" s="8"/>
      <c r="C4" s="8"/>
      <c r="D4" s="9" t="s">
        <v>4</v>
      </c>
      <c r="E4" s="10"/>
      <c r="F4" s="11"/>
      <c r="G4" s="10"/>
      <c r="H4" s="10"/>
      <c r="I4" s="12"/>
    </row>
    <row r="5" spans="1:9" x14ac:dyDescent="0.25">
      <c r="A5" s="13" t="s">
        <v>5</v>
      </c>
      <c r="B5" s="14" t="s">
        <v>6</v>
      </c>
      <c r="C5" s="15" t="s">
        <v>7</v>
      </c>
      <c r="D5" s="16" t="s">
        <v>8</v>
      </c>
      <c r="E5" s="17"/>
      <c r="F5" s="17"/>
      <c r="G5" s="18" t="s">
        <v>9</v>
      </c>
      <c r="H5" s="17"/>
      <c r="I5" s="17"/>
    </row>
    <row r="6" spans="1:9" x14ac:dyDescent="0.25">
      <c r="A6" s="19" t="s">
        <v>10</v>
      </c>
      <c r="B6" s="20"/>
      <c r="C6" s="20"/>
      <c r="D6" s="21" t="s">
        <v>11</v>
      </c>
      <c r="E6" s="21" t="s">
        <v>12</v>
      </c>
      <c r="F6" s="21" t="s">
        <v>13</v>
      </c>
      <c r="G6" s="21" t="s">
        <v>14</v>
      </c>
      <c r="H6" s="21" t="s">
        <v>12</v>
      </c>
      <c r="I6" s="21" t="s">
        <v>13</v>
      </c>
    </row>
    <row r="7" spans="1:9" x14ac:dyDescent="0.25">
      <c r="A7" s="21">
        <v>0</v>
      </c>
      <c r="B7" s="22" t="s">
        <v>15</v>
      </c>
      <c r="C7" s="23">
        <f>11272+24335+31575+34331+10005+3645+1003+1167+7933+2023</f>
        <v>127289</v>
      </c>
      <c r="D7" s="24">
        <f>1196+7887+4936</f>
        <v>14019</v>
      </c>
      <c r="E7" s="24"/>
      <c r="F7" s="24">
        <f>10168+18666+30379+26444+10005+3645+1003+1167+2997+2023</f>
        <v>106497</v>
      </c>
      <c r="G7" s="24">
        <f>1104+5168</f>
        <v>6272</v>
      </c>
      <c r="H7" s="24"/>
      <c r="I7" s="24">
        <f>501</f>
        <v>501</v>
      </c>
    </row>
    <row r="8" spans="1:9" x14ac:dyDescent="0.25">
      <c r="A8" s="21" t="s">
        <v>16</v>
      </c>
      <c r="B8" s="25" t="s">
        <v>17</v>
      </c>
      <c r="C8" s="24">
        <f>10168+18666+31575+34331+10005+3645+1003+1167+7933+2023</f>
        <v>120516</v>
      </c>
      <c r="D8" s="24">
        <f>1196+7887+4936</f>
        <v>14019</v>
      </c>
      <c r="E8" s="24"/>
      <c r="F8" s="24">
        <f>10168+18666+30379+26444+10005+3645+1003+1167+2997+2023</f>
        <v>106497</v>
      </c>
      <c r="G8" s="24"/>
      <c r="H8" s="24"/>
      <c r="I8" s="24"/>
    </row>
    <row r="9" spans="1:9" x14ac:dyDescent="0.25">
      <c r="A9" s="21" t="s">
        <v>18</v>
      </c>
      <c r="B9" s="26" t="s">
        <v>19</v>
      </c>
      <c r="C9" s="24"/>
      <c r="D9" s="24"/>
      <c r="E9" s="24"/>
      <c r="F9" s="24"/>
      <c r="G9" s="24"/>
      <c r="H9" s="24"/>
      <c r="I9" s="24"/>
    </row>
    <row r="10" spans="1:9" x14ac:dyDescent="0.25">
      <c r="A10" s="21" t="s">
        <v>20</v>
      </c>
      <c r="B10" s="25" t="s">
        <v>21</v>
      </c>
      <c r="C10" s="24"/>
      <c r="D10" s="24"/>
      <c r="E10" s="24"/>
      <c r="F10" s="24"/>
      <c r="G10" s="24"/>
      <c r="H10" s="24"/>
      <c r="I10" s="24"/>
    </row>
    <row r="11" spans="1:9" x14ac:dyDescent="0.25">
      <c r="A11" s="21" t="s">
        <v>22</v>
      </c>
      <c r="B11" s="27" t="s">
        <v>23</v>
      </c>
      <c r="C11" s="24"/>
      <c r="D11" s="24"/>
      <c r="E11" s="24"/>
      <c r="F11" s="24"/>
      <c r="G11" s="24"/>
      <c r="H11" s="24"/>
      <c r="I11" s="24"/>
    </row>
    <row r="12" spans="1:9" x14ac:dyDescent="0.25">
      <c r="A12" s="21" t="s">
        <v>24</v>
      </c>
      <c r="B12" s="25" t="s">
        <v>25</v>
      </c>
      <c r="C12" s="24"/>
      <c r="D12" s="24"/>
      <c r="E12" s="24"/>
      <c r="F12" s="24"/>
      <c r="G12" s="24"/>
      <c r="H12" s="24"/>
      <c r="I12" s="24"/>
    </row>
    <row r="13" spans="1:9" x14ac:dyDescent="0.25">
      <c r="A13" s="21" t="s">
        <v>26</v>
      </c>
      <c r="B13" s="25" t="s">
        <v>27</v>
      </c>
      <c r="C13" s="24"/>
      <c r="D13" s="24"/>
      <c r="E13" s="24"/>
      <c r="F13" s="24"/>
      <c r="G13" s="24"/>
      <c r="H13" s="24"/>
      <c r="I13" s="24"/>
    </row>
    <row r="14" spans="1:9" x14ac:dyDescent="0.25">
      <c r="A14" s="21" t="s">
        <v>28</v>
      </c>
      <c r="B14" s="27" t="s">
        <v>29</v>
      </c>
      <c r="C14" s="28">
        <f>1104+5669</f>
        <v>6773</v>
      </c>
      <c r="D14" s="28"/>
      <c r="E14" s="28"/>
      <c r="F14" s="29"/>
      <c r="G14" s="28">
        <f>1104+5168</f>
        <v>6272</v>
      </c>
      <c r="H14" s="28"/>
      <c r="I14" s="28">
        <f>501</f>
        <v>501</v>
      </c>
    </row>
    <row r="15" spans="1:9" ht="27" x14ac:dyDescent="0.25">
      <c r="A15" s="21" t="s">
        <v>30</v>
      </c>
      <c r="B15" s="25" t="s">
        <v>31</v>
      </c>
      <c r="C15" s="24"/>
      <c r="D15" s="24"/>
      <c r="E15" s="24"/>
      <c r="F15" s="24"/>
      <c r="G15" s="24"/>
      <c r="H15" s="24"/>
      <c r="I15" s="24"/>
    </row>
    <row r="16" spans="1:9" x14ac:dyDescent="0.25">
      <c r="A16" s="21" t="s">
        <v>32</v>
      </c>
      <c r="B16" s="25" t="s">
        <v>33</v>
      </c>
      <c r="C16" s="24"/>
      <c r="D16" s="24"/>
      <c r="E16" s="24"/>
      <c r="F16" s="24"/>
      <c r="G16" s="24"/>
      <c r="H16" s="24"/>
      <c r="I16" s="24"/>
    </row>
    <row r="17" spans="1:9" x14ac:dyDescent="0.25">
      <c r="A17" s="21" t="s">
        <v>34</v>
      </c>
      <c r="B17" s="25" t="s">
        <v>35</v>
      </c>
      <c r="C17" s="24"/>
      <c r="D17" s="24"/>
      <c r="E17" s="24"/>
      <c r="F17" s="24"/>
      <c r="G17" s="24"/>
      <c r="H17" s="24"/>
      <c r="I17" s="24"/>
    </row>
    <row r="18" spans="1:9" ht="27" x14ac:dyDescent="0.25">
      <c r="A18" s="21" t="s">
        <v>36</v>
      </c>
      <c r="B18" s="27" t="s">
        <v>37</v>
      </c>
      <c r="C18" s="24"/>
      <c r="D18" s="24"/>
      <c r="E18" s="24"/>
      <c r="F18" s="24"/>
      <c r="G18" s="24"/>
      <c r="H18" s="24"/>
      <c r="I18" s="24"/>
    </row>
    <row r="19" spans="1:9" x14ac:dyDescent="0.25">
      <c r="A19" s="21" t="s">
        <v>38</v>
      </c>
      <c r="B19" s="25" t="s">
        <v>39</v>
      </c>
      <c r="C19" s="24"/>
      <c r="D19" s="24"/>
      <c r="E19" s="24"/>
      <c r="F19" s="24"/>
      <c r="G19" s="24"/>
      <c r="H19" s="24"/>
      <c r="I19" s="24"/>
    </row>
    <row r="20" spans="1:9" x14ac:dyDescent="0.25">
      <c r="A20" s="21" t="s">
        <v>40</v>
      </c>
      <c r="B20" s="25" t="s">
        <v>41</v>
      </c>
      <c r="C20" s="24"/>
      <c r="D20" s="24"/>
      <c r="E20" s="24"/>
      <c r="F20" s="24"/>
      <c r="G20" s="24"/>
      <c r="H20" s="24"/>
      <c r="I20" s="24"/>
    </row>
    <row r="21" spans="1:9" x14ac:dyDescent="0.25">
      <c r="A21" s="21" t="s">
        <v>42</v>
      </c>
      <c r="B21" s="25" t="s">
        <v>43</v>
      </c>
      <c r="C21" s="24"/>
      <c r="D21" s="24"/>
      <c r="E21" s="24"/>
      <c r="F21" s="24"/>
      <c r="G21" s="24"/>
      <c r="H21" s="24"/>
      <c r="I21" s="24"/>
    </row>
    <row r="22" spans="1:9" x14ac:dyDescent="0.25">
      <c r="A22" s="21" t="s">
        <v>44</v>
      </c>
      <c r="B22" s="25" t="s">
        <v>45</v>
      </c>
      <c r="C22" s="24"/>
      <c r="D22" s="24"/>
      <c r="E22" s="24"/>
      <c r="F22" s="24"/>
      <c r="G22" s="24"/>
      <c r="H22" s="24"/>
      <c r="I22" s="24"/>
    </row>
    <row r="23" spans="1:9" x14ac:dyDescent="0.25">
      <c r="A23" s="21" t="s">
        <v>46</v>
      </c>
      <c r="B23" s="25" t="s">
        <v>47</v>
      </c>
      <c r="C23" s="24"/>
      <c r="D23" s="24"/>
      <c r="E23" s="24"/>
      <c r="F23" s="24"/>
      <c r="G23" s="24"/>
      <c r="H23" s="24"/>
      <c r="I23" s="24"/>
    </row>
    <row r="24" spans="1:9" x14ac:dyDescent="0.25">
      <c r="A24" s="21" t="s">
        <v>48</v>
      </c>
      <c r="B24" s="25" t="s">
        <v>49</v>
      </c>
      <c r="C24" s="24"/>
      <c r="D24" s="24"/>
      <c r="E24" s="24"/>
      <c r="F24" s="24"/>
      <c r="G24" s="24"/>
      <c r="H24" s="24"/>
      <c r="I24" s="24"/>
    </row>
    <row r="25" spans="1:9" x14ac:dyDescent="0.25">
      <c r="A25" s="21" t="s">
        <v>50</v>
      </c>
      <c r="B25" s="25" t="s">
        <v>51</v>
      </c>
      <c r="C25" s="24"/>
      <c r="D25" s="24"/>
      <c r="E25" s="24"/>
      <c r="F25" s="24"/>
      <c r="G25" s="24"/>
      <c r="H25" s="24"/>
      <c r="I25" s="24"/>
    </row>
    <row r="26" spans="1:9" x14ac:dyDescent="0.25">
      <c r="A26" s="21" t="s">
        <v>52</v>
      </c>
      <c r="B26" s="25" t="s">
        <v>53</v>
      </c>
      <c r="C26" s="24"/>
      <c r="D26" s="24"/>
      <c r="E26" s="24"/>
      <c r="F26" s="30"/>
      <c r="G26" s="24"/>
      <c r="H26" s="24"/>
      <c r="I26" s="24"/>
    </row>
    <row r="27" spans="1:9" x14ac:dyDescent="0.25">
      <c r="A27" s="21" t="s">
        <v>54</v>
      </c>
      <c r="B27" s="25" t="s">
        <v>55</v>
      </c>
      <c r="C27" s="24"/>
      <c r="D27" s="24"/>
      <c r="E27" s="24"/>
      <c r="F27" s="24"/>
      <c r="G27" s="24"/>
      <c r="H27" s="24"/>
      <c r="I27" s="24"/>
    </row>
    <row r="28" spans="1:9" x14ac:dyDescent="0.25">
      <c r="A28" s="21" t="s">
        <v>56</v>
      </c>
      <c r="B28" s="25" t="s">
        <v>57</v>
      </c>
      <c r="C28" s="24"/>
      <c r="D28" s="24"/>
      <c r="E28" s="24"/>
      <c r="F28" s="24"/>
      <c r="G28" s="24"/>
      <c r="H28" s="24"/>
      <c r="I28" s="24"/>
    </row>
    <row r="29" spans="1:9" x14ac:dyDescent="0.25">
      <c r="A29" s="21" t="s">
        <v>58</v>
      </c>
      <c r="B29" s="25" t="s">
        <v>59</v>
      </c>
      <c r="C29" s="24"/>
      <c r="D29" s="24"/>
      <c r="E29" s="24"/>
      <c r="F29" s="24"/>
      <c r="G29" s="24"/>
      <c r="H29" s="24"/>
      <c r="I29" s="24"/>
    </row>
    <row r="30" spans="1:9" x14ac:dyDescent="0.25">
      <c r="A30" s="21" t="s">
        <v>60</v>
      </c>
      <c r="B30" s="27" t="s">
        <v>61</v>
      </c>
      <c r="C30" s="24"/>
      <c r="D30" s="24"/>
      <c r="E30" s="24"/>
      <c r="F30" s="24"/>
      <c r="G30" s="24"/>
      <c r="H30" s="24"/>
      <c r="I30" s="24"/>
    </row>
    <row r="31" spans="1:9" x14ac:dyDescent="0.25">
      <c r="A31" s="21" t="s">
        <v>62</v>
      </c>
      <c r="B31" s="25" t="s">
        <v>63</v>
      </c>
      <c r="C31" s="24"/>
      <c r="D31" s="24"/>
      <c r="E31" s="24"/>
      <c r="F31" s="24"/>
      <c r="G31" s="24"/>
      <c r="H31" s="24"/>
      <c r="I31" s="24"/>
    </row>
    <row r="32" spans="1:9" x14ac:dyDescent="0.25">
      <c r="A32" s="31"/>
      <c r="B32" s="32" t="s">
        <v>64</v>
      </c>
      <c r="C32" s="33">
        <f>SUM(C8:C31)</f>
        <v>127289</v>
      </c>
      <c r="D32" s="33"/>
      <c r="E32" s="33"/>
      <c r="F32" s="33"/>
      <c r="G32" s="33" t="s">
        <v>65</v>
      </c>
      <c r="H32" s="33"/>
      <c r="I32" s="33"/>
    </row>
    <row r="33" spans="1:9" x14ac:dyDescent="0.25">
      <c r="A33" s="31"/>
      <c r="B33" s="32" t="s">
        <v>66</v>
      </c>
      <c r="C33" s="33">
        <f>E7+H7</f>
        <v>0</v>
      </c>
      <c r="D33" s="33"/>
      <c r="E33" s="33"/>
      <c r="F33" s="33"/>
      <c r="G33" s="33" t="s">
        <v>67</v>
      </c>
      <c r="H33" s="33"/>
      <c r="I33" s="33"/>
    </row>
    <row r="34" spans="1:9" x14ac:dyDescent="0.25">
      <c r="A34" s="31"/>
      <c r="B34" s="32" t="s">
        <v>68</v>
      </c>
      <c r="C34" s="33">
        <f>C32-C33</f>
        <v>127289</v>
      </c>
      <c r="D34" s="33"/>
      <c r="E34" s="33"/>
      <c r="F34" s="33"/>
      <c r="G34" s="33"/>
      <c r="H34" s="33"/>
      <c r="I34" s="33"/>
    </row>
    <row r="35" spans="1:9" ht="15.75" x14ac:dyDescent="0.25">
      <c r="A35" s="31"/>
      <c r="B35" s="53" t="s">
        <v>69</v>
      </c>
      <c r="C35" s="33">
        <f>10+24+30+30+10+4+1+0+3+7+2</f>
        <v>121</v>
      </c>
      <c r="D35" s="33"/>
      <c r="E35" s="33"/>
      <c r="F35" s="54"/>
      <c r="G35" s="54"/>
      <c r="H35" s="54"/>
      <c r="I35" s="54"/>
    </row>
    <row r="36" spans="1:9" ht="15.75" x14ac:dyDescent="0.25">
      <c r="A36" s="31"/>
      <c r="B36" s="55" t="s">
        <v>4</v>
      </c>
      <c r="C36" s="53"/>
      <c r="D36" s="33"/>
      <c r="E36" s="33"/>
      <c r="F36" s="54"/>
      <c r="G36" s="54"/>
      <c r="H36" s="54"/>
      <c r="I36" s="54"/>
    </row>
    <row r="37" spans="1:9" ht="15.75" x14ac:dyDescent="0.25">
      <c r="A37" s="56"/>
      <c r="B37" s="55" t="s">
        <v>70</v>
      </c>
      <c r="C37" s="33">
        <f>5+14+30+17+4+4+1+0+3+3+2</f>
        <v>83</v>
      </c>
      <c r="D37" s="54"/>
      <c r="E37" s="54"/>
      <c r="F37" s="54"/>
      <c r="G37" s="54"/>
      <c r="H37" s="54"/>
      <c r="I37" s="54"/>
    </row>
    <row r="38" spans="1:9" ht="15.75" x14ac:dyDescent="0.25">
      <c r="A38" s="56"/>
      <c r="B38" s="55" t="s">
        <v>71</v>
      </c>
      <c r="C38" s="33">
        <f>5+10+0+13+6+0+0+0+0+4+0</f>
        <v>38</v>
      </c>
      <c r="D38" s="37"/>
      <c r="E38" s="37"/>
      <c r="F38" s="37"/>
      <c r="G38" s="37"/>
      <c r="H38" s="37"/>
      <c r="I38" s="3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4C7C4-175D-4112-B0B7-EB8A958C9FEF}">
  <dimension ref="A1:I38"/>
  <sheetViews>
    <sheetView topLeftCell="A7" workbookViewId="0">
      <selection activeCell="K15" sqref="K15"/>
    </sheetView>
  </sheetViews>
  <sheetFormatPr defaultRowHeight="15" x14ac:dyDescent="0.25"/>
  <cols>
    <col min="2" max="2" width="52.140625" bestFit="1" customWidth="1"/>
  </cols>
  <sheetData>
    <row r="1" spans="1:9" ht="15.75" x14ac:dyDescent="0.25">
      <c r="A1" s="1" t="s">
        <v>0</v>
      </c>
      <c r="B1" s="2"/>
      <c r="C1" s="2"/>
      <c r="D1" s="2"/>
      <c r="E1" s="2"/>
      <c r="F1" s="3"/>
      <c r="G1" s="2"/>
      <c r="H1" s="2"/>
      <c r="I1" s="3"/>
    </row>
    <row r="2" spans="1:9" ht="15.75" x14ac:dyDescent="0.25">
      <c r="A2" s="51"/>
      <c r="B2" s="52" t="s">
        <v>80</v>
      </c>
      <c r="C2" s="49"/>
      <c r="D2" s="49"/>
      <c r="E2" s="49"/>
      <c r="F2" s="50"/>
      <c r="G2" s="49"/>
      <c r="H2" s="49"/>
      <c r="I2" s="50"/>
    </row>
    <row r="3" spans="1:9" ht="15.75" x14ac:dyDescent="0.25">
      <c r="A3" s="6" t="s">
        <v>2</v>
      </c>
      <c r="B3" s="6"/>
      <c r="C3" s="6"/>
      <c r="D3" s="6"/>
      <c r="E3" s="6"/>
      <c r="F3" s="6"/>
      <c r="G3" s="6"/>
      <c r="H3" s="6"/>
      <c r="I3" s="6"/>
    </row>
    <row r="4" spans="1:9" x14ac:dyDescent="0.25">
      <c r="A4" s="7" t="s">
        <v>3</v>
      </c>
      <c r="B4" s="8"/>
      <c r="C4" s="8"/>
      <c r="D4" s="9" t="s">
        <v>4</v>
      </c>
      <c r="E4" s="10"/>
      <c r="F4" s="11"/>
      <c r="G4" s="10"/>
      <c r="H4" s="10"/>
      <c r="I4" s="12"/>
    </row>
    <row r="5" spans="1:9" x14ac:dyDescent="0.25">
      <c r="A5" s="13" t="s">
        <v>5</v>
      </c>
      <c r="B5" s="14" t="s">
        <v>6</v>
      </c>
      <c r="C5" s="15" t="s">
        <v>7</v>
      </c>
      <c r="D5" s="16" t="s">
        <v>8</v>
      </c>
      <c r="E5" s="17"/>
      <c r="F5" s="17"/>
      <c r="G5" s="18" t="s">
        <v>9</v>
      </c>
      <c r="H5" s="17"/>
      <c r="I5" s="17"/>
    </row>
    <row r="6" spans="1:9" x14ac:dyDescent="0.25">
      <c r="A6" s="19" t="s">
        <v>10</v>
      </c>
      <c r="B6" s="20"/>
      <c r="C6" s="20"/>
      <c r="D6" s="21" t="s">
        <v>11</v>
      </c>
      <c r="E6" s="21" t="s">
        <v>12</v>
      </c>
      <c r="F6" s="21" t="s">
        <v>13</v>
      </c>
      <c r="G6" s="21" t="s">
        <v>14</v>
      </c>
      <c r="H6" s="21" t="s">
        <v>12</v>
      </c>
      <c r="I6" s="21" t="s">
        <v>13</v>
      </c>
    </row>
    <row r="7" spans="1:9" x14ac:dyDescent="0.25">
      <c r="A7" s="21">
        <v>0</v>
      </c>
      <c r="B7" s="22" t="s">
        <v>15</v>
      </c>
      <c r="C7" s="23">
        <f>15725+12407+20224+36979+3426+12041+2869+2659+6329+2528+726</f>
        <v>115913</v>
      </c>
      <c r="D7" s="24">
        <f>6695+6238+4860+3551+1580+6329+2528+726</f>
        <v>32507</v>
      </c>
      <c r="E7" s="24"/>
      <c r="F7" s="24">
        <f>9030+6169+15364+33428+3426+12041+2869+1079</f>
        <v>83406</v>
      </c>
      <c r="G7" s="24"/>
      <c r="H7" s="24"/>
      <c r="I7" s="24"/>
    </row>
    <row r="8" spans="1:9" x14ac:dyDescent="0.25">
      <c r="A8" s="21" t="s">
        <v>16</v>
      </c>
      <c r="B8" s="25" t="s">
        <v>17</v>
      </c>
      <c r="C8" s="24">
        <f>15725+12407+20224+36779+3426+12041+2869+2659+6329+2528+726</f>
        <v>115713</v>
      </c>
      <c r="D8" s="24">
        <f>6695+6238+4860+3551+1580+6329+2528+726</f>
        <v>32507</v>
      </c>
      <c r="E8" s="24"/>
      <c r="F8" s="24">
        <f>9030+6169+15364+33228+3426+12041+2869+1079</f>
        <v>83206</v>
      </c>
      <c r="G8" s="24"/>
      <c r="H8" s="24"/>
      <c r="I8" s="24"/>
    </row>
    <row r="9" spans="1:9" x14ac:dyDescent="0.25">
      <c r="A9" s="21" t="s">
        <v>18</v>
      </c>
      <c r="B9" s="26" t="s">
        <v>19</v>
      </c>
      <c r="C9" s="24"/>
      <c r="D9" s="24"/>
      <c r="E9" s="24"/>
      <c r="F9" s="24"/>
      <c r="G9" s="24"/>
      <c r="H9" s="24"/>
      <c r="I9" s="24"/>
    </row>
    <row r="10" spans="1:9" x14ac:dyDescent="0.25">
      <c r="A10" s="21" t="s">
        <v>20</v>
      </c>
      <c r="B10" s="25" t="s">
        <v>21</v>
      </c>
      <c r="C10" s="24"/>
      <c r="D10" s="24"/>
      <c r="E10" s="24"/>
      <c r="F10" s="24"/>
      <c r="G10" s="24"/>
      <c r="H10" s="24"/>
      <c r="I10" s="24"/>
    </row>
    <row r="11" spans="1:9" x14ac:dyDescent="0.25">
      <c r="A11" s="21" t="s">
        <v>22</v>
      </c>
      <c r="B11" s="27" t="s">
        <v>23</v>
      </c>
      <c r="C11" s="24"/>
      <c r="D11" s="24"/>
      <c r="E11" s="24"/>
      <c r="F11" s="24"/>
      <c r="G11" s="24"/>
      <c r="H11" s="24"/>
      <c r="I11" s="24"/>
    </row>
    <row r="12" spans="1:9" x14ac:dyDescent="0.25">
      <c r="A12" s="21" t="s">
        <v>24</v>
      </c>
      <c r="B12" s="25" t="s">
        <v>25</v>
      </c>
      <c r="C12" s="24"/>
      <c r="D12" s="24"/>
      <c r="E12" s="24"/>
      <c r="F12" s="24"/>
      <c r="G12" s="24"/>
      <c r="H12" s="24"/>
      <c r="I12" s="24"/>
    </row>
    <row r="13" spans="1:9" x14ac:dyDescent="0.25">
      <c r="A13" s="21" t="s">
        <v>26</v>
      </c>
      <c r="B13" s="25" t="s">
        <v>27</v>
      </c>
      <c r="C13" s="24">
        <f>200</f>
        <v>200</v>
      </c>
      <c r="D13" s="24"/>
      <c r="E13" s="24"/>
      <c r="F13" s="24">
        <f>200</f>
        <v>200</v>
      </c>
      <c r="G13" s="24"/>
      <c r="H13" s="24"/>
      <c r="I13" s="24"/>
    </row>
    <row r="14" spans="1:9" x14ac:dyDescent="0.25">
      <c r="A14" s="21" t="s">
        <v>28</v>
      </c>
      <c r="B14" s="27" t="s">
        <v>29</v>
      </c>
      <c r="C14" s="28"/>
      <c r="D14" s="28"/>
      <c r="E14" s="28"/>
      <c r="F14" s="29"/>
      <c r="G14" s="28"/>
      <c r="H14" s="28"/>
      <c r="I14" s="28"/>
    </row>
    <row r="15" spans="1:9" ht="27" x14ac:dyDescent="0.25">
      <c r="A15" s="21" t="s">
        <v>30</v>
      </c>
      <c r="B15" s="25" t="s">
        <v>31</v>
      </c>
      <c r="C15" s="24"/>
      <c r="D15" s="24"/>
      <c r="E15" s="24"/>
      <c r="F15" s="24"/>
      <c r="G15" s="24"/>
      <c r="H15" s="24"/>
      <c r="I15" s="24"/>
    </row>
    <row r="16" spans="1:9" x14ac:dyDescent="0.25">
      <c r="A16" s="21" t="s">
        <v>32</v>
      </c>
      <c r="B16" s="25" t="s">
        <v>33</v>
      </c>
      <c r="C16" s="24"/>
      <c r="D16" s="24"/>
      <c r="E16" s="24"/>
      <c r="F16" s="24"/>
      <c r="G16" s="24"/>
      <c r="H16" s="24"/>
      <c r="I16" s="24"/>
    </row>
    <row r="17" spans="1:9" x14ac:dyDescent="0.25">
      <c r="A17" s="21" t="s">
        <v>34</v>
      </c>
      <c r="B17" s="25" t="s">
        <v>35</v>
      </c>
      <c r="C17" s="24"/>
      <c r="D17" s="24"/>
      <c r="E17" s="24"/>
      <c r="F17" s="24"/>
      <c r="G17" s="24"/>
      <c r="H17" s="24"/>
      <c r="I17" s="24"/>
    </row>
    <row r="18" spans="1:9" ht="27" x14ac:dyDescent="0.25">
      <c r="A18" s="21" t="s">
        <v>36</v>
      </c>
      <c r="B18" s="27" t="s">
        <v>37</v>
      </c>
      <c r="C18" s="24"/>
      <c r="D18" s="24"/>
      <c r="E18" s="24"/>
      <c r="F18" s="24"/>
      <c r="G18" s="24"/>
      <c r="H18" s="24"/>
      <c r="I18" s="24"/>
    </row>
    <row r="19" spans="1:9" x14ac:dyDescent="0.25">
      <c r="A19" s="21" t="s">
        <v>38</v>
      </c>
      <c r="B19" s="25" t="s">
        <v>39</v>
      </c>
      <c r="C19" s="24"/>
      <c r="D19" s="24"/>
      <c r="E19" s="24"/>
      <c r="F19" s="24"/>
      <c r="G19" s="24"/>
      <c r="H19" s="24"/>
      <c r="I19" s="24"/>
    </row>
    <row r="20" spans="1:9" x14ac:dyDescent="0.25">
      <c r="A20" s="21" t="s">
        <v>40</v>
      </c>
      <c r="B20" s="25" t="s">
        <v>41</v>
      </c>
      <c r="C20" s="24"/>
      <c r="D20" s="24"/>
      <c r="E20" s="24"/>
      <c r="F20" s="24"/>
      <c r="G20" s="24"/>
      <c r="H20" s="24"/>
      <c r="I20" s="24"/>
    </row>
    <row r="21" spans="1:9" x14ac:dyDescent="0.25">
      <c r="A21" s="21" t="s">
        <v>42</v>
      </c>
      <c r="B21" s="25" t="s">
        <v>43</v>
      </c>
      <c r="C21" s="24"/>
      <c r="D21" s="24"/>
      <c r="E21" s="24"/>
      <c r="F21" s="24"/>
      <c r="G21" s="24"/>
      <c r="H21" s="24"/>
      <c r="I21" s="24"/>
    </row>
    <row r="22" spans="1:9" x14ac:dyDescent="0.25">
      <c r="A22" s="21" t="s">
        <v>44</v>
      </c>
      <c r="B22" s="25" t="s">
        <v>45</v>
      </c>
      <c r="C22" s="24"/>
      <c r="D22" s="24"/>
      <c r="E22" s="24"/>
      <c r="F22" s="24"/>
      <c r="G22" s="24"/>
      <c r="H22" s="24"/>
      <c r="I22" s="24"/>
    </row>
    <row r="23" spans="1:9" x14ac:dyDescent="0.25">
      <c r="A23" s="21" t="s">
        <v>46</v>
      </c>
      <c r="B23" s="25" t="s">
        <v>47</v>
      </c>
      <c r="C23" s="24"/>
      <c r="D23" s="24"/>
      <c r="E23" s="24"/>
      <c r="F23" s="24"/>
      <c r="G23" s="24"/>
      <c r="H23" s="24"/>
      <c r="I23" s="24"/>
    </row>
    <row r="24" spans="1:9" x14ac:dyDescent="0.25">
      <c r="A24" s="21" t="s">
        <v>48</v>
      </c>
      <c r="B24" s="25" t="s">
        <v>49</v>
      </c>
      <c r="C24" s="24"/>
      <c r="D24" s="24"/>
      <c r="E24" s="24"/>
      <c r="F24" s="24"/>
      <c r="G24" s="24"/>
      <c r="H24" s="24"/>
      <c r="I24" s="24"/>
    </row>
    <row r="25" spans="1:9" x14ac:dyDescent="0.25">
      <c r="A25" s="21" t="s">
        <v>50</v>
      </c>
      <c r="B25" s="25" t="s">
        <v>51</v>
      </c>
      <c r="C25" s="24"/>
      <c r="D25" s="24"/>
      <c r="E25" s="24"/>
      <c r="F25" s="24"/>
      <c r="G25" s="24"/>
      <c r="H25" s="24"/>
      <c r="I25" s="24"/>
    </row>
    <row r="26" spans="1:9" x14ac:dyDescent="0.25">
      <c r="A26" s="21" t="s">
        <v>52</v>
      </c>
      <c r="B26" s="25" t="s">
        <v>53</v>
      </c>
      <c r="C26" s="24"/>
      <c r="D26" s="24"/>
      <c r="E26" s="24"/>
      <c r="F26" s="30"/>
      <c r="G26" s="24"/>
      <c r="H26" s="24"/>
      <c r="I26" s="24"/>
    </row>
    <row r="27" spans="1:9" x14ac:dyDescent="0.25">
      <c r="A27" s="21" t="s">
        <v>54</v>
      </c>
      <c r="B27" s="25" t="s">
        <v>55</v>
      </c>
      <c r="C27" s="24"/>
      <c r="D27" s="24"/>
      <c r="E27" s="24"/>
      <c r="F27" s="24"/>
      <c r="G27" s="24"/>
      <c r="H27" s="24"/>
      <c r="I27" s="24"/>
    </row>
    <row r="28" spans="1:9" x14ac:dyDescent="0.25">
      <c r="A28" s="21" t="s">
        <v>56</v>
      </c>
      <c r="B28" s="25" t="s">
        <v>57</v>
      </c>
      <c r="C28" s="24"/>
      <c r="D28" s="24"/>
      <c r="E28" s="24"/>
      <c r="F28" s="24"/>
      <c r="G28" s="24"/>
      <c r="H28" s="24"/>
      <c r="I28" s="24"/>
    </row>
    <row r="29" spans="1:9" x14ac:dyDescent="0.25">
      <c r="A29" s="21" t="s">
        <v>58</v>
      </c>
      <c r="B29" s="25" t="s">
        <v>59</v>
      </c>
      <c r="C29" s="24"/>
      <c r="D29" s="24"/>
      <c r="E29" s="24"/>
      <c r="F29" s="24"/>
      <c r="G29" s="24"/>
      <c r="H29" s="24"/>
      <c r="I29" s="24"/>
    </row>
    <row r="30" spans="1:9" x14ac:dyDescent="0.25">
      <c r="A30" s="21" t="s">
        <v>60</v>
      </c>
      <c r="B30" s="27" t="s">
        <v>61</v>
      </c>
      <c r="C30" s="24"/>
      <c r="D30" s="24"/>
      <c r="E30" s="24"/>
      <c r="F30" s="24"/>
      <c r="G30" s="24"/>
      <c r="H30" s="24"/>
      <c r="I30" s="24"/>
    </row>
    <row r="31" spans="1:9" x14ac:dyDescent="0.25">
      <c r="A31" s="21" t="s">
        <v>62</v>
      </c>
      <c r="B31" s="25" t="s">
        <v>63</v>
      </c>
      <c r="C31" s="24"/>
      <c r="D31" s="24"/>
      <c r="E31" s="24"/>
      <c r="F31" s="24"/>
      <c r="G31" s="24"/>
      <c r="H31" s="24"/>
      <c r="I31" s="24"/>
    </row>
    <row r="32" spans="1:9" x14ac:dyDescent="0.25">
      <c r="A32" s="31"/>
      <c r="B32" s="32" t="s">
        <v>64</v>
      </c>
      <c r="C32" s="33">
        <f>SUM(C8:C31)</f>
        <v>115913</v>
      </c>
      <c r="D32" s="33"/>
      <c r="E32" s="33"/>
      <c r="F32" s="33"/>
      <c r="G32" s="33" t="s">
        <v>65</v>
      </c>
      <c r="H32" s="33"/>
      <c r="I32" s="33"/>
    </row>
    <row r="33" spans="1:9" x14ac:dyDescent="0.25">
      <c r="A33" s="35"/>
      <c r="B33" s="36" t="s">
        <v>66</v>
      </c>
      <c r="C33" s="34">
        <f>E7+H7</f>
        <v>0</v>
      </c>
      <c r="D33" s="34"/>
      <c r="E33" s="34"/>
      <c r="F33" s="34"/>
      <c r="G33" s="34" t="s">
        <v>67</v>
      </c>
      <c r="H33" s="34"/>
      <c r="I33" s="34"/>
    </row>
    <row r="34" spans="1:9" x14ac:dyDescent="0.25">
      <c r="A34" s="35"/>
      <c r="B34" s="36" t="s">
        <v>68</v>
      </c>
      <c r="C34" s="34">
        <f>C32-C33</f>
        <v>115913</v>
      </c>
      <c r="D34" s="34"/>
      <c r="E34" s="34"/>
      <c r="F34" s="34"/>
      <c r="G34" s="34"/>
      <c r="H34" s="34"/>
      <c r="I34" s="34"/>
    </row>
    <row r="35" spans="1:9" ht="15.75" x14ac:dyDescent="0.25">
      <c r="A35" s="35"/>
      <c r="B35" s="38" t="s">
        <v>69</v>
      </c>
      <c r="C35" s="34">
        <f>12+17+23+34+3+11+3+0+4+9+5+1</f>
        <v>122</v>
      </c>
      <c r="D35" s="34"/>
      <c r="E35" s="34"/>
      <c r="F35" s="37"/>
      <c r="G35" s="37"/>
      <c r="H35" s="37"/>
      <c r="I35" s="37"/>
    </row>
    <row r="36" spans="1:9" ht="15.75" x14ac:dyDescent="0.25">
      <c r="A36" s="35"/>
      <c r="B36" s="39" t="s">
        <v>4</v>
      </c>
      <c r="C36" s="38"/>
      <c r="D36" s="34"/>
      <c r="E36" s="34"/>
      <c r="F36" s="37"/>
      <c r="G36" s="37"/>
      <c r="H36" s="37"/>
      <c r="I36" s="37"/>
    </row>
    <row r="37" spans="1:9" ht="15.75" x14ac:dyDescent="0.25">
      <c r="A37" s="40"/>
      <c r="B37" s="39" t="s">
        <v>70</v>
      </c>
      <c r="C37" s="34">
        <f>6+15+18+28+3+11+3+0+2+7+5+0</f>
        <v>98</v>
      </c>
      <c r="D37" s="37"/>
      <c r="E37" s="37"/>
      <c r="F37" s="37"/>
      <c r="G37" s="37"/>
      <c r="H37" s="37"/>
      <c r="I37" s="37"/>
    </row>
    <row r="38" spans="1:9" ht="15.75" x14ac:dyDescent="0.25">
      <c r="A38" s="40"/>
      <c r="B38" s="39" t="s">
        <v>71</v>
      </c>
      <c r="C38" s="34">
        <f>6+2+5+6+0+0+0+0+2+2+0+1</f>
        <v>24</v>
      </c>
      <c r="D38" s="37"/>
      <c r="E38" s="37"/>
      <c r="F38" s="37"/>
      <c r="G38" s="37"/>
      <c r="H38" s="37"/>
      <c r="I38" s="3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FA14-FD3D-4E03-802D-37036C430B91}">
  <dimension ref="A1:I38"/>
  <sheetViews>
    <sheetView topLeftCell="A13" workbookViewId="0">
      <selection activeCell="K15" sqref="K15"/>
    </sheetView>
  </sheetViews>
  <sheetFormatPr defaultRowHeight="15" x14ac:dyDescent="0.25"/>
  <cols>
    <col min="2" max="2" width="51.5703125" bestFit="1" customWidth="1"/>
  </cols>
  <sheetData>
    <row r="1" spans="1:9" ht="15.75" x14ac:dyDescent="0.25">
      <c r="A1" s="1" t="s">
        <v>0</v>
      </c>
      <c r="B1" s="2"/>
      <c r="C1" s="2"/>
      <c r="D1" s="2"/>
      <c r="E1" s="2"/>
      <c r="F1" s="3"/>
      <c r="G1" s="2"/>
      <c r="H1" s="2"/>
      <c r="I1" s="3"/>
    </row>
    <row r="2" spans="1:9" ht="15.75" x14ac:dyDescent="0.25">
      <c r="A2" s="51"/>
      <c r="B2" s="52" t="s">
        <v>81</v>
      </c>
      <c r="C2" s="49"/>
      <c r="D2" s="49"/>
      <c r="E2" s="49"/>
      <c r="F2" s="50"/>
      <c r="G2" s="49"/>
      <c r="H2" s="49"/>
      <c r="I2" s="50"/>
    </row>
    <row r="3" spans="1:9" ht="15.75" x14ac:dyDescent="0.25">
      <c r="A3" s="6" t="s">
        <v>2</v>
      </c>
      <c r="B3" s="6"/>
      <c r="C3" s="6"/>
      <c r="D3" s="6"/>
      <c r="E3" s="6"/>
      <c r="F3" s="6"/>
      <c r="G3" s="6"/>
      <c r="H3" s="6"/>
      <c r="I3" s="6"/>
    </row>
    <row r="4" spans="1:9" x14ac:dyDescent="0.25">
      <c r="A4" s="7" t="s">
        <v>3</v>
      </c>
      <c r="B4" s="8"/>
      <c r="C4" s="8"/>
      <c r="D4" s="9" t="s">
        <v>4</v>
      </c>
      <c r="E4" s="10"/>
      <c r="F4" s="11"/>
      <c r="G4" s="10"/>
      <c r="H4" s="10"/>
      <c r="I4" s="12"/>
    </row>
    <row r="5" spans="1:9" x14ac:dyDescent="0.25">
      <c r="A5" s="13" t="s">
        <v>5</v>
      </c>
      <c r="B5" s="14" t="s">
        <v>6</v>
      </c>
      <c r="C5" s="15" t="s">
        <v>7</v>
      </c>
      <c r="D5" s="16" t="s">
        <v>8</v>
      </c>
      <c r="E5" s="17"/>
      <c r="F5" s="17"/>
      <c r="G5" s="18" t="s">
        <v>9</v>
      </c>
      <c r="H5" s="17"/>
      <c r="I5" s="17"/>
    </row>
    <row r="6" spans="1:9" x14ac:dyDescent="0.25">
      <c r="A6" s="19" t="s">
        <v>10</v>
      </c>
      <c r="B6" s="20"/>
      <c r="C6" s="20"/>
      <c r="D6" s="21" t="s">
        <v>11</v>
      </c>
      <c r="E6" s="21" t="s">
        <v>12</v>
      </c>
      <c r="F6" s="21" t="s">
        <v>13</v>
      </c>
      <c r="G6" s="21" t="s">
        <v>14</v>
      </c>
      <c r="H6" s="21" t="s">
        <v>12</v>
      </c>
      <c r="I6" s="21" t="s">
        <v>13</v>
      </c>
    </row>
    <row r="7" spans="1:9" x14ac:dyDescent="0.25">
      <c r="A7" s="21">
        <v>0</v>
      </c>
      <c r="B7" s="22" t="s">
        <v>15</v>
      </c>
      <c r="C7" s="23">
        <f>70043+89536+87167+50617+74630+47948+44585+15547+24279+54794+26502+40402</f>
        <v>626050</v>
      </c>
      <c r="D7" s="24">
        <f>2204+2013+64+2732+1091</f>
        <v>8104</v>
      </c>
      <c r="E7" s="24">
        <f>947</f>
        <v>947</v>
      </c>
      <c r="F7" s="24">
        <f>10978+7612+14032+7778+14498+15092+2206+836+1952+1486</f>
        <v>76470</v>
      </c>
      <c r="G7" s="24">
        <f>46145+48983+37768+21280+38916+26571+16725+3355+4806+10386+15075+15959</f>
        <v>285969</v>
      </c>
      <c r="H7" s="24"/>
      <c r="I7" s="24">
        <f>12920+30737+32407+21559+21152+18645+12768+9986+18637+42456+11427+21866</f>
        <v>254560</v>
      </c>
    </row>
    <row r="8" spans="1:9" x14ac:dyDescent="0.25">
      <c r="A8" s="21" t="s">
        <v>16</v>
      </c>
      <c r="B8" s="25" t="s">
        <v>17</v>
      </c>
      <c r="C8" s="24">
        <f>9413+15378+11760+6522+16498+2732+13192+1642+836+1952+2577</f>
        <v>82502</v>
      </c>
      <c r="D8" s="24">
        <f>2732+1091</f>
        <v>3823</v>
      </c>
      <c r="E8" s="24"/>
      <c r="F8" s="24">
        <f>9413+7612+11760+6522+14498+13192+1642+836+1952+1486</f>
        <v>68913</v>
      </c>
      <c r="G8" s="24">
        <f>2232+2000</f>
        <v>4232</v>
      </c>
      <c r="H8" s="24"/>
      <c r="I8" s="24">
        <f>5534</f>
        <v>5534</v>
      </c>
    </row>
    <row r="9" spans="1:9" x14ac:dyDescent="0.25">
      <c r="A9" s="21" t="s">
        <v>18</v>
      </c>
      <c r="B9" s="26" t="s">
        <v>19</v>
      </c>
      <c r="C9" s="24"/>
      <c r="D9" s="24"/>
      <c r="E9" s="24"/>
      <c r="F9" s="24"/>
      <c r="G9" s="24"/>
      <c r="H9" s="24"/>
      <c r="I9" s="24"/>
    </row>
    <row r="10" spans="1:9" x14ac:dyDescent="0.25">
      <c r="A10" s="21" t="s">
        <v>20</v>
      </c>
      <c r="B10" s="25" t="s">
        <v>21</v>
      </c>
      <c r="C10" s="24"/>
      <c r="D10" s="24"/>
      <c r="E10" s="24"/>
      <c r="F10" s="24"/>
      <c r="G10" s="24"/>
      <c r="H10" s="24"/>
      <c r="I10" s="24"/>
    </row>
    <row r="11" spans="1:9" x14ac:dyDescent="0.25">
      <c r="A11" s="21" t="s">
        <v>22</v>
      </c>
      <c r="B11" s="27" t="s">
        <v>23</v>
      </c>
      <c r="C11" s="24"/>
      <c r="D11" s="24"/>
      <c r="E11" s="24"/>
      <c r="F11" s="24"/>
      <c r="G11" s="24"/>
      <c r="H11" s="24"/>
      <c r="I11" s="24"/>
    </row>
    <row r="12" spans="1:9" x14ac:dyDescent="0.25">
      <c r="A12" s="21" t="s">
        <v>24</v>
      </c>
      <c r="B12" s="25" t="s">
        <v>25</v>
      </c>
      <c r="C12" s="24">
        <f>1565+2204+1900+564</f>
        <v>6233</v>
      </c>
      <c r="D12" s="24">
        <f>2204</f>
        <v>2204</v>
      </c>
      <c r="E12" s="24"/>
      <c r="F12" s="24">
        <f>1565+1900+564</f>
        <v>4029</v>
      </c>
      <c r="G12" s="24"/>
      <c r="H12" s="24"/>
      <c r="I12" s="24"/>
    </row>
    <row r="13" spans="1:9" x14ac:dyDescent="0.25">
      <c r="A13" s="21" t="s">
        <v>26</v>
      </c>
      <c r="B13" s="25" t="s">
        <v>27</v>
      </c>
      <c r="C13" s="24"/>
      <c r="D13" s="24"/>
      <c r="E13" s="24"/>
      <c r="F13" s="24"/>
      <c r="G13" s="24"/>
      <c r="H13" s="24"/>
      <c r="I13" s="24"/>
    </row>
    <row r="14" spans="1:9" x14ac:dyDescent="0.25">
      <c r="A14" s="21" t="s">
        <v>28</v>
      </c>
      <c r="B14" s="27" t="s">
        <v>29</v>
      </c>
      <c r="C14" s="28">
        <f>18647+20083+23887+6143+13823+15021+7049+4214+29206+2485+12655</f>
        <v>153213</v>
      </c>
      <c r="D14" s="28">
        <f>2013</f>
        <v>2013</v>
      </c>
      <c r="E14" s="28"/>
      <c r="F14" s="29">
        <f>2272</f>
        <v>2272</v>
      </c>
      <c r="G14" s="28">
        <f>13157+13312+11466+3537+13823+9818+7049+5068+2485+5388</f>
        <v>85103</v>
      </c>
      <c r="H14" s="28"/>
      <c r="I14" s="28">
        <f>5490+6771+8136+2606+5203+4214+24138+7267</f>
        <v>63825</v>
      </c>
    </row>
    <row r="15" spans="1:9" ht="27" x14ac:dyDescent="0.25">
      <c r="A15" s="21" t="s">
        <v>30</v>
      </c>
      <c r="B15" s="25" t="s">
        <v>31</v>
      </c>
      <c r="C15" s="24">
        <f>3399+2083+5554+2631+2248</f>
        <v>15915</v>
      </c>
      <c r="D15" s="24"/>
      <c r="E15" s="24"/>
      <c r="F15" s="24">
        <f>1256</f>
        <v>1256</v>
      </c>
      <c r="G15" s="24"/>
      <c r="H15" s="24"/>
      <c r="I15" s="24">
        <f>3399+2083+5554+1375+2248</f>
        <v>14659</v>
      </c>
    </row>
    <row r="16" spans="1:9" x14ac:dyDescent="0.25">
      <c r="A16" s="21" t="s">
        <v>32</v>
      </c>
      <c r="B16" s="25" t="s">
        <v>33</v>
      </c>
      <c r="C16" s="24"/>
      <c r="D16" s="24"/>
      <c r="E16" s="24"/>
      <c r="F16" s="24"/>
      <c r="G16" s="24"/>
      <c r="H16" s="24"/>
      <c r="I16" s="24"/>
    </row>
    <row r="17" spans="1:9" x14ac:dyDescent="0.25">
      <c r="A17" s="21" t="s">
        <v>34</v>
      </c>
      <c r="B17" s="25" t="s">
        <v>35</v>
      </c>
      <c r="C17" s="24"/>
      <c r="D17" s="24"/>
      <c r="E17" s="24"/>
      <c r="F17" s="24"/>
      <c r="G17" s="24"/>
      <c r="H17" s="24"/>
      <c r="I17" s="24"/>
    </row>
    <row r="18" spans="1:9" ht="27" x14ac:dyDescent="0.25">
      <c r="A18" s="21" t="s">
        <v>36</v>
      </c>
      <c r="B18" s="27" t="s">
        <v>37</v>
      </c>
      <c r="C18" s="24"/>
      <c r="D18" s="24"/>
      <c r="E18" s="24"/>
      <c r="F18" s="24"/>
      <c r="G18" s="24"/>
      <c r="H18" s="24"/>
      <c r="I18" s="24"/>
    </row>
    <row r="19" spans="1:9" x14ac:dyDescent="0.25">
      <c r="A19" s="21" t="s">
        <v>38</v>
      </c>
      <c r="B19" s="25" t="s">
        <v>39</v>
      </c>
      <c r="C19" s="24"/>
      <c r="D19" s="24"/>
      <c r="E19" s="24"/>
      <c r="F19" s="24"/>
      <c r="G19" s="24"/>
      <c r="H19" s="24"/>
      <c r="I19" s="24"/>
    </row>
    <row r="20" spans="1:9" x14ac:dyDescent="0.25">
      <c r="A20" s="21" t="s">
        <v>40</v>
      </c>
      <c r="B20" s="25" t="s">
        <v>41</v>
      </c>
      <c r="C20" s="24"/>
      <c r="D20" s="24"/>
      <c r="E20" s="24"/>
      <c r="F20" s="24"/>
      <c r="G20" s="24"/>
      <c r="H20" s="24"/>
      <c r="I20" s="24"/>
    </row>
    <row r="21" spans="1:9" x14ac:dyDescent="0.25">
      <c r="A21" s="21" t="s">
        <v>42</v>
      </c>
      <c r="B21" s="25" t="s">
        <v>43</v>
      </c>
      <c r="C21" s="24">
        <f>21444</f>
        <v>21444</v>
      </c>
      <c r="D21" s="24"/>
      <c r="E21" s="24"/>
      <c r="F21" s="24"/>
      <c r="G21" s="24">
        <f>8472</f>
        <v>8472</v>
      </c>
      <c r="H21" s="24"/>
      <c r="I21" s="24">
        <f>12972</f>
        <v>12972</v>
      </c>
    </row>
    <row r="22" spans="1:9" x14ac:dyDescent="0.25">
      <c r="A22" s="21" t="s">
        <v>44</v>
      </c>
      <c r="B22" s="25" t="s">
        <v>45</v>
      </c>
      <c r="C22" s="24">
        <f>19490+23963+16381+18476+13442+12768+9986+14423+15319+14937+16237</f>
        <v>175422</v>
      </c>
      <c r="D22" s="24"/>
      <c r="E22" s="24"/>
      <c r="F22" s="24"/>
      <c r="G22" s="24">
        <f>15459+13821+3248+3400+1100+3510+3102</f>
        <v>43640</v>
      </c>
      <c r="H22" s="24"/>
      <c r="I22" s="24">
        <f>4031+10142+13133+15076+13442+12768+9986+14423+14219+11427+13135</f>
        <v>131782</v>
      </c>
    </row>
    <row r="23" spans="1:9" x14ac:dyDescent="0.25">
      <c r="A23" s="21" t="s">
        <v>46</v>
      </c>
      <c r="B23" s="25" t="s">
        <v>47</v>
      </c>
      <c r="C23" s="24"/>
      <c r="D23" s="24"/>
      <c r="E23" s="24"/>
      <c r="F23" s="24"/>
      <c r="G23" s="24"/>
      <c r="H23" s="24"/>
      <c r="I23" s="24"/>
    </row>
    <row r="24" spans="1:9" x14ac:dyDescent="0.25">
      <c r="A24" s="21" t="s">
        <v>48</v>
      </c>
      <c r="B24" s="25" t="s">
        <v>49</v>
      </c>
      <c r="C24" s="24">
        <f>651+2579</f>
        <v>3230</v>
      </c>
      <c r="D24" s="24"/>
      <c r="E24" s="24"/>
      <c r="F24" s="24"/>
      <c r="G24" s="24">
        <f>651+620</f>
        <v>1271</v>
      </c>
      <c r="H24" s="24"/>
      <c r="I24" s="24">
        <f>1959</f>
        <v>1959</v>
      </c>
    </row>
    <row r="25" spans="1:9" x14ac:dyDescent="0.25">
      <c r="A25" s="21" t="s">
        <v>50</v>
      </c>
      <c r="B25" s="25" t="s">
        <v>51</v>
      </c>
      <c r="C25" s="24">
        <f>2500+5029+7453+3270+2400+878+878+1901+3493+2424</f>
        <v>30226</v>
      </c>
      <c r="D25" s="24"/>
      <c r="E25" s="24"/>
      <c r="F25" s="24"/>
      <c r="G25" s="24">
        <f>2500+5029+7453+3270+2400+878+878+791+3493+960</f>
        <v>27652</v>
      </c>
      <c r="H25" s="24"/>
      <c r="I25" s="24">
        <f>1110+1464</f>
        <v>2574</v>
      </c>
    </row>
    <row r="26" spans="1:9" x14ac:dyDescent="0.25">
      <c r="A26" s="21" t="s">
        <v>52</v>
      </c>
      <c r="B26" s="25" t="s">
        <v>53</v>
      </c>
      <c r="C26" s="24"/>
      <c r="D26" s="24"/>
      <c r="E26" s="24"/>
      <c r="F26" s="30"/>
      <c r="G26" s="24"/>
      <c r="H26" s="24"/>
      <c r="I26" s="24"/>
    </row>
    <row r="27" spans="1:9" x14ac:dyDescent="0.25">
      <c r="A27" s="21" t="s">
        <v>54</v>
      </c>
      <c r="B27" s="25" t="s">
        <v>55</v>
      </c>
      <c r="C27" s="24"/>
      <c r="D27" s="24"/>
      <c r="E27" s="24"/>
      <c r="F27" s="24"/>
      <c r="G27" s="24"/>
      <c r="H27" s="24"/>
      <c r="I27" s="24"/>
    </row>
    <row r="28" spans="1:9" x14ac:dyDescent="0.25">
      <c r="A28" s="21" t="s">
        <v>56</v>
      </c>
      <c r="B28" s="25" t="s">
        <v>57</v>
      </c>
      <c r="C28" s="24">
        <f>15029+20145+21230+11487+20251+14353+8798+3355+3928+6397+5587+6509</f>
        <v>137069</v>
      </c>
      <c r="D28" s="24"/>
      <c r="E28" s="24">
        <f>947</f>
        <v>947</v>
      </c>
      <c r="F28" s="24"/>
      <c r="G28" s="24">
        <f>15029+13938+16497+7042+16423+14353+8798+3355+3928+3408+5587+6509</f>
        <v>114867</v>
      </c>
      <c r="H28" s="24"/>
      <c r="I28" s="24">
        <f>6207+3786+4445+3828+2989</f>
        <v>21255</v>
      </c>
    </row>
    <row r="29" spans="1:9" x14ac:dyDescent="0.25">
      <c r="A29" s="21" t="s">
        <v>58</v>
      </c>
      <c r="B29" s="25" t="s">
        <v>59</v>
      </c>
      <c r="C29" s="24">
        <f>19</f>
        <v>19</v>
      </c>
      <c r="D29" s="24"/>
      <c r="E29" s="24"/>
      <c r="F29" s="24"/>
      <c r="G29" s="24">
        <f>19</f>
        <v>19</v>
      </c>
      <c r="H29" s="24"/>
      <c r="I29" s="24"/>
    </row>
    <row r="30" spans="1:9" x14ac:dyDescent="0.25">
      <c r="A30" s="21" t="s">
        <v>60</v>
      </c>
      <c r="B30" s="27" t="s">
        <v>61</v>
      </c>
      <c r="C30" s="24">
        <f>713</f>
        <v>713</v>
      </c>
      <c r="D30" s="24"/>
      <c r="E30" s="24"/>
      <c r="F30" s="24"/>
      <c r="G30" s="24">
        <f>713</f>
        <v>713</v>
      </c>
      <c r="H30" s="24"/>
      <c r="I30" s="24"/>
    </row>
    <row r="31" spans="1:9" x14ac:dyDescent="0.25">
      <c r="A31" s="21" t="s">
        <v>62</v>
      </c>
      <c r="B31" s="25" t="s">
        <v>63</v>
      </c>
      <c r="C31" s="24">
        <f>64</f>
        <v>64</v>
      </c>
      <c r="D31" s="24">
        <f>64</f>
        <v>64</v>
      </c>
      <c r="E31" s="24"/>
      <c r="F31" s="24"/>
      <c r="G31" s="24"/>
      <c r="H31" s="24"/>
      <c r="I31" s="24"/>
    </row>
    <row r="32" spans="1:9" x14ac:dyDescent="0.25">
      <c r="A32" s="31"/>
      <c r="B32" s="32" t="s">
        <v>64</v>
      </c>
      <c r="C32" s="33">
        <f>SUM(C8:C31)</f>
        <v>626050</v>
      </c>
      <c r="D32" s="33"/>
      <c r="E32" s="33"/>
      <c r="F32" s="33"/>
      <c r="G32" s="33" t="s">
        <v>65</v>
      </c>
      <c r="H32" s="33"/>
      <c r="I32" s="33"/>
    </row>
    <row r="33" spans="1:9" x14ac:dyDescent="0.25">
      <c r="A33" s="31"/>
      <c r="B33" s="32" t="s">
        <v>66</v>
      </c>
      <c r="C33" s="33">
        <f>E7+H7</f>
        <v>947</v>
      </c>
      <c r="D33" s="33"/>
      <c r="E33" s="33"/>
      <c r="F33" s="33"/>
      <c r="G33" s="33" t="s">
        <v>67</v>
      </c>
      <c r="H33" s="33"/>
      <c r="I33" s="33"/>
    </row>
    <row r="34" spans="1:9" x14ac:dyDescent="0.25">
      <c r="A34" s="31"/>
      <c r="B34" s="32" t="s">
        <v>68</v>
      </c>
      <c r="C34" s="33">
        <f>C32-C33</f>
        <v>625103</v>
      </c>
      <c r="D34" s="33"/>
      <c r="E34" s="33"/>
      <c r="F34" s="33"/>
      <c r="G34" s="33"/>
      <c r="H34" s="33"/>
      <c r="I34" s="33"/>
    </row>
    <row r="35" spans="1:9" ht="15.75" x14ac:dyDescent="0.25">
      <c r="A35" s="31"/>
      <c r="B35" s="53" t="s">
        <v>69</v>
      </c>
      <c r="C35" s="33">
        <f>66+81+84+49+67+49+49+24+29+49+29+41</f>
        <v>617</v>
      </c>
      <c r="D35" s="33"/>
      <c r="E35" s="33"/>
      <c r="F35" s="54"/>
      <c r="G35" s="54"/>
      <c r="H35" s="54"/>
      <c r="I35" s="54"/>
    </row>
    <row r="36" spans="1:9" ht="15.75" x14ac:dyDescent="0.25">
      <c r="A36" s="31"/>
      <c r="B36" s="55" t="s">
        <v>4</v>
      </c>
      <c r="C36" s="53"/>
      <c r="D36" s="33"/>
      <c r="E36" s="33"/>
      <c r="F36" s="54"/>
      <c r="G36" s="54"/>
      <c r="H36" s="54"/>
      <c r="I36" s="54"/>
    </row>
    <row r="37" spans="1:9" ht="15.75" x14ac:dyDescent="0.25">
      <c r="A37" s="31"/>
      <c r="B37" s="55" t="s">
        <v>70</v>
      </c>
      <c r="C37" s="33">
        <f>24+39+35+23+28+20+17+13+11+19+11+20</f>
        <v>260</v>
      </c>
      <c r="D37" s="54"/>
      <c r="E37" s="54"/>
      <c r="F37" s="54"/>
      <c r="G37" s="54"/>
      <c r="H37" s="54"/>
      <c r="I37" s="54"/>
    </row>
    <row r="38" spans="1:9" ht="15.75" x14ac:dyDescent="0.25">
      <c r="A38" s="31"/>
      <c r="B38" s="55" t="s">
        <v>71</v>
      </c>
      <c r="C38" s="33">
        <f>42+42+49+26+39+29+32+11+18+30+18+21</f>
        <v>357</v>
      </c>
      <c r="D38" s="54"/>
      <c r="E38" s="54"/>
      <c r="F38" s="54"/>
      <c r="G38" s="54"/>
      <c r="H38" s="54"/>
      <c r="I38" s="5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FF66-AC22-45BA-88CE-8475601F507C}">
  <dimension ref="A1:I38"/>
  <sheetViews>
    <sheetView topLeftCell="A4" workbookViewId="0">
      <selection activeCell="K31" sqref="K31"/>
    </sheetView>
  </sheetViews>
  <sheetFormatPr defaultRowHeight="15" x14ac:dyDescent="0.25"/>
  <cols>
    <col min="2" max="2" width="53" bestFit="1" customWidth="1"/>
  </cols>
  <sheetData>
    <row r="1" spans="1:9" ht="15.75" x14ac:dyDescent="0.25">
      <c r="A1" s="1" t="s">
        <v>0</v>
      </c>
      <c r="B1" s="2"/>
      <c r="C1" s="2"/>
      <c r="D1" s="2"/>
      <c r="E1" s="2"/>
      <c r="F1" s="3"/>
      <c r="G1" s="2"/>
      <c r="H1" s="2"/>
      <c r="I1" s="3"/>
    </row>
    <row r="2" spans="1:9" ht="15.75" x14ac:dyDescent="0.25">
      <c r="A2" s="51"/>
      <c r="B2" s="52" t="s">
        <v>82</v>
      </c>
      <c r="C2" s="49"/>
      <c r="D2" s="49"/>
      <c r="E2" s="49"/>
      <c r="F2" s="50"/>
      <c r="G2" s="49"/>
      <c r="H2" s="49"/>
      <c r="I2" s="50"/>
    </row>
    <row r="3" spans="1:9" ht="15.75" x14ac:dyDescent="0.25">
      <c r="A3" s="6" t="s">
        <v>2</v>
      </c>
      <c r="B3" s="6"/>
      <c r="C3" s="6"/>
      <c r="D3" s="6"/>
      <c r="E3" s="6"/>
      <c r="F3" s="6"/>
      <c r="G3" s="6"/>
      <c r="H3" s="6"/>
      <c r="I3" s="6"/>
    </row>
    <row r="4" spans="1:9" x14ac:dyDescent="0.25">
      <c r="A4" s="7" t="s">
        <v>3</v>
      </c>
      <c r="B4" s="8"/>
      <c r="C4" s="8"/>
      <c r="D4" s="9" t="s">
        <v>4</v>
      </c>
      <c r="E4" s="10"/>
      <c r="F4" s="11"/>
      <c r="G4" s="10"/>
      <c r="H4" s="10"/>
      <c r="I4" s="12"/>
    </row>
    <row r="5" spans="1:9" x14ac:dyDescent="0.25">
      <c r="A5" s="13" t="s">
        <v>5</v>
      </c>
      <c r="B5" s="14" t="s">
        <v>6</v>
      </c>
      <c r="C5" s="15" t="s">
        <v>7</v>
      </c>
      <c r="D5" s="16" t="s">
        <v>8</v>
      </c>
      <c r="E5" s="17"/>
      <c r="F5" s="17"/>
      <c r="G5" s="18" t="s">
        <v>9</v>
      </c>
      <c r="H5" s="17"/>
      <c r="I5" s="17"/>
    </row>
    <row r="6" spans="1:9" x14ac:dyDescent="0.25">
      <c r="A6" s="19" t="s">
        <v>10</v>
      </c>
      <c r="B6" s="20"/>
      <c r="C6" s="20"/>
      <c r="D6" s="21" t="s">
        <v>11</v>
      </c>
      <c r="E6" s="21" t="s">
        <v>12</v>
      </c>
      <c r="F6" s="21" t="s">
        <v>13</v>
      </c>
      <c r="G6" s="21" t="s">
        <v>14</v>
      </c>
      <c r="H6" s="21" t="s">
        <v>12</v>
      </c>
      <c r="I6" s="21" t="s">
        <v>13</v>
      </c>
    </row>
    <row r="7" spans="1:9" x14ac:dyDescent="0.25">
      <c r="A7" s="21">
        <v>0</v>
      </c>
      <c r="B7" s="22" t="s">
        <v>15</v>
      </c>
      <c r="C7" s="23">
        <f>6038+9420+10930+4575+2276+5237+4268+1501+2418+3455+4542</f>
        <v>54660</v>
      </c>
      <c r="D7" s="24"/>
      <c r="E7" s="24">
        <f>1568</f>
        <v>1568</v>
      </c>
      <c r="F7" s="24">
        <f>5038+3718+2220+1274+3233+4268+1502</f>
        <v>21253</v>
      </c>
      <c r="G7" s="24">
        <f>1000+2004+5015+3006+1002+2004+2418+3455+4542</f>
        <v>24446</v>
      </c>
      <c r="H7" s="24"/>
      <c r="I7" s="24">
        <f>3698+3695</f>
        <v>7393</v>
      </c>
    </row>
    <row r="8" spans="1:9" x14ac:dyDescent="0.25">
      <c r="A8" s="21" t="s">
        <v>16</v>
      </c>
      <c r="B8" s="25" t="s">
        <v>17</v>
      </c>
      <c r="C8" s="24">
        <f>4137+2756+2220+1568+1274+3233+4268+1501+2418+2023+4542</f>
        <v>29940</v>
      </c>
      <c r="D8" s="24"/>
      <c r="E8" s="24">
        <f>1568</f>
        <v>1568</v>
      </c>
      <c r="F8" s="24">
        <f>4137+2756+2220+1274+3233+4268+1501</f>
        <v>19389</v>
      </c>
      <c r="G8" s="23">
        <f>2418+2023+4542</f>
        <v>8983</v>
      </c>
      <c r="H8" s="24"/>
      <c r="I8" s="24"/>
    </row>
    <row r="9" spans="1:9" x14ac:dyDescent="0.25">
      <c r="A9" s="21" t="s">
        <v>18</v>
      </c>
      <c r="B9" s="26" t="s">
        <v>19</v>
      </c>
      <c r="C9" s="24"/>
      <c r="D9" s="24"/>
      <c r="E9" s="24"/>
      <c r="F9" s="24"/>
      <c r="G9" s="24"/>
      <c r="H9" s="24"/>
      <c r="I9" s="24"/>
    </row>
    <row r="10" spans="1:9" x14ac:dyDescent="0.25">
      <c r="A10" s="21" t="s">
        <v>20</v>
      </c>
      <c r="B10" s="25" t="s">
        <v>21</v>
      </c>
      <c r="C10" s="24"/>
      <c r="D10" s="24"/>
      <c r="E10" s="24"/>
      <c r="F10" s="24"/>
      <c r="G10" s="24"/>
      <c r="H10" s="24"/>
      <c r="I10" s="24"/>
    </row>
    <row r="11" spans="1:9" x14ac:dyDescent="0.25">
      <c r="A11" s="21" t="s">
        <v>22</v>
      </c>
      <c r="B11" s="27" t="s">
        <v>23</v>
      </c>
      <c r="C11" s="24"/>
      <c r="D11" s="24"/>
      <c r="E11" s="24"/>
      <c r="F11" s="24"/>
      <c r="G11" s="24"/>
      <c r="H11" s="24"/>
      <c r="I11" s="24"/>
    </row>
    <row r="12" spans="1:9" x14ac:dyDescent="0.25">
      <c r="A12" s="21" t="s">
        <v>24</v>
      </c>
      <c r="B12" s="25" t="s">
        <v>25</v>
      </c>
      <c r="C12" s="24"/>
      <c r="D12" s="24"/>
      <c r="E12" s="24"/>
      <c r="F12" s="24"/>
      <c r="G12" s="24"/>
      <c r="H12" s="24"/>
      <c r="I12" s="24"/>
    </row>
    <row r="13" spans="1:9" x14ac:dyDescent="0.25">
      <c r="A13" s="21" t="s">
        <v>26</v>
      </c>
      <c r="B13" s="25" t="s">
        <v>27</v>
      </c>
      <c r="C13" s="24"/>
      <c r="D13" s="24"/>
      <c r="E13" s="24"/>
      <c r="F13" s="24"/>
      <c r="G13" s="24"/>
      <c r="H13" s="24"/>
      <c r="I13" s="24"/>
    </row>
    <row r="14" spans="1:9" x14ac:dyDescent="0.25">
      <c r="A14" s="21" t="s">
        <v>28</v>
      </c>
      <c r="B14" s="27" t="s">
        <v>29</v>
      </c>
      <c r="C14" s="28">
        <f>1000+2966+5015+3006+1002+2004+1432</f>
        <v>16425</v>
      </c>
      <c r="D14" s="28"/>
      <c r="E14" s="28"/>
      <c r="F14" s="29">
        <f>962</f>
        <v>962</v>
      </c>
      <c r="G14" s="28">
        <f>1000+2004+5015+3006+1002+2004+1432</f>
        <v>15463</v>
      </c>
      <c r="H14" s="28"/>
      <c r="I14" s="28"/>
    </row>
    <row r="15" spans="1:9" x14ac:dyDescent="0.25">
      <c r="A15" s="21" t="s">
        <v>30</v>
      </c>
      <c r="B15" s="25" t="s">
        <v>31</v>
      </c>
      <c r="C15" s="24">
        <f>3698+3695</f>
        <v>7393</v>
      </c>
      <c r="D15" s="24"/>
      <c r="E15" s="24"/>
      <c r="F15" s="24"/>
      <c r="G15" s="24"/>
      <c r="H15" s="24"/>
      <c r="I15" s="24">
        <f>3698+3695</f>
        <v>7393</v>
      </c>
    </row>
    <row r="16" spans="1:9" x14ac:dyDescent="0.25">
      <c r="A16" s="21" t="s">
        <v>32</v>
      </c>
      <c r="B16" s="25" t="s">
        <v>33</v>
      </c>
      <c r="C16" s="24"/>
      <c r="D16" s="24"/>
      <c r="E16" s="24"/>
      <c r="F16" s="24"/>
      <c r="G16" s="24"/>
      <c r="H16" s="24"/>
      <c r="I16" s="24"/>
    </row>
    <row r="17" spans="1:9" x14ac:dyDescent="0.25">
      <c r="A17" s="21" t="s">
        <v>34</v>
      </c>
      <c r="B17" s="25" t="s">
        <v>35</v>
      </c>
      <c r="C17" s="24"/>
      <c r="D17" s="24"/>
      <c r="E17" s="24"/>
      <c r="F17" s="24"/>
      <c r="G17" s="24"/>
      <c r="H17" s="24"/>
      <c r="I17" s="24"/>
    </row>
    <row r="18" spans="1:9" ht="27" x14ac:dyDescent="0.25">
      <c r="A18" s="21" t="s">
        <v>36</v>
      </c>
      <c r="B18" s="27" t="s">
        <v>37</v>
      </c>
      <c r="C18" s="24"/>
      <c r="D18" s="24"/>
      <c r="E18" s="24"/>
      <c r="F18" s="24"/>
      <c r="G18" s="24"/>
      <c r="H18" s="24"/>
      <c r="I18" s="24"/>
    </row>
    <row r="19" spans="1:9" x14ac:dyDescent="0.25">
      <c r="A19" s="21" t="s">
        <v>38</v>
      </c>
      <c r="B19" s="25" t="s">
        <v>39</v>
      </c>
      <c r="C19" s="24"/>
      <c r="D19" s="24"/>
      <c r="E19" s="24"/>
      <c r="F19" s="24"/>
      <c r="G19" s="24"/>
      <c r="H19" s="24"/>
      <c r="I19" s="24"/>
    </row>
    <row r="20" spans="1:9" x14ac:dyDescent="0.25">
      <c r="A20" s="21" t="s">
        <v>40</v>
      </c>
      <c r="B20" s="25" t="s">
        <v>41</v>
      </c>
      <c r="C20" s="24"/>
      <c r="D20" s="24"/>
      <c r="E20" s="24"/>
      <c r="F20" s="24"/>
      <c r="G20" s="24"/>
      <c r="H20" s="24"/>
      <c r="I20" s="24"/>
    </row>
    <row r="21" spans="1:9" x14ac:dyDescent="0.25">
      <c r="A21" s="21" t="s">
        <v>42</v>
      </c>
      <c r="B21" s="25" t="s">
        <v>43</v>
      </c>
      <c r="C21" s="24"/>
      <c r="D21" s="24"/>
      <c r="E21" s="24"/>
      <c r="F21" s="24"/>
      <c r="G21" s="24"/>
      <c r="H21" s="24"/>
      <c r="I21" s="24"/>
    </row>
    <row r="22" spans="1:9" x14ac:dyDescent="0.25">
      <c r="A22" s="21" t="s">
        <v>44</v>
      </c>
      <c r="B22" s="25" t="s">
        <v>45</v>
      </c>
      <c r="C22" s="24"/>
      <c r="D22" s="24"/>
      <c r="E22" s="24"/>
      <c r="F22" s="24"/>
      <c r="G22" s="24"/>
      <c r="H22" s="24"/>
      <c r="I22" s="24"/>
    </row>
    <row r="23" spans="1:9" x14ac:dyDescent="0.25">
      <c r="A23" s="21" t="s">
        <v>46</v>
      </c>
      <c r="B23" s="25" t="s">
        <v>47</v>
      </c>
      <c r="C23" s="24"/>
      <c r="D23" s="24"/>
      <c r="E23" s="24"/>
      <c r="F23" s="24"/>
      <c r="G23" s="24"/>
      <c r="H23" s="24"/>
      <c r="I23" s="24"/>
    </row>
    <row r="24" spans="1:9" x14ac:dyDescent="0.25">
      <c r="A24" s="21" t="s">
        <v>48</v>
      </c>
      <c r="B24" s="25" t="s">
        <v>49</v>
      </c>
      <c r="C24" s="24"/>
      <c r="D24" s="24"/>
      <c r="E24" s="24"/>
      <c r="F24" s="24"/>
      <c r="G24" s="24"/>
      <c r="H24" s="24"/>
      <c r="I24" s="24"/>
    </row>
    <row r="25" spans="1:9" x14ac:dyDescent="0.25">
      <c r="A25" s="21" t="s">
        <v>50</v>
      </c>
      <c r="B25" s="25" t="s">
        <v>51</v>
      </c>
      <c r="C25" s="24">
        <f>902</f>
        <v>902</v>
      </c>
      <c r="D25" s="24"/>
      <c r="E25" s="24"/>
      <c r="F25" s="24">
        <f>902</f>
        <v>902</v>
      </c>
      <c r="G25" s="24"/>
      <c r="H25" s="24"/>
      <c r="I25" s="24"/>
    </row>
    <row r="26" spans="1:9" x14ac:dyDescent="0.25">
      <c r="A26" s="21" t="s">
        <v>52</v>
      </c>
      <c r="B26" s="25" t="s">
        <v>53</v>
      </c>
      <c r="C26" s="24"/>
      <c r="D26" s="24"/>
      <c r="E26" s="24"/>
      <c r="F26" s="30"/>
      <c r="G26" s="24"/>
      <c r="H26" s="24"/>
      <c r="I26" s="24"/>
    </row>
    <row r="27" spans="1:9" x14ac:dyDescent="0.25">
      <c r="A27" s="21" t="s">
        <v>54</v>
      </c>
      <c r="B27" s="25" t="s">
        <v>55</v>
      </c>
      <c r="C27" s="24"/>
      <c r="D27" s="24"/>
      <c r="E27" s="24"/>
      <c r="F27" s="24"/>
      <c r="G27" s="24"/>
      <c r="H27" s="24"/>
      <c r="I27" s="24"/>
    </row>
    <row r="28" spans="1:9" x14ac:dyDescent="0.25">
      <c r="A28" s="21" t="s">
        <v>56</v>
      </c>
      <c r="B28" s="25" t="s">
        <v>57</v>
      </c>
      <c r="C28" s="24"/>
      <c r="D28" s="24"/>
      <c r="E28" s="24"/>
      <c r="F28" s="24"/>
      <c r="G28" s="24"/>
      <c r="H28" s="24"/>
      <c r="I28" s="24"/>
    </row>
    <row r="29" spans="1:9" x14ac:dyDescent="0.25">
      <c r="A29" s="21" t="s">
        <v>58</v>
      </c>
      <c r="B29" s="25" t="s">
        <v>59</v>
      </c>
      <c r="C29" s="24"/>
      <c r="D29" s="24"/>
      <c r="E29" s="24"/>
      <c r="F29" s="24"/>
      <c r="G29" s="24"/>
      <c r="H29" s="24"/>
      <c r="I29" s="24"/>
    </row>
    <row r="30" spans="1:9" x14ac:dyDescent="0.25">
      <c r="A30" s="21" t="s">
        <v>60</v>
      </c>
      <c r="B30" s="27" t="s">
        <v>61</v>
      </c>
      <c r="C30" s="24"/>
      <c r="D30" s="24"/>
      <c r="E30" s="24"/>
      <c r="F30" s="24"/>
      <c r="G30" s="24"/>
      <c r="H30" s="24"/>
      <c r="I30" s="24"/>
    </row>
    <row r="31" spans="1:9" x14ac:dyDescent="0.25">
      <c r="A31" s="21" t="s">
        <v>62</v>
      </c>
      <c r="B31" s="25" t="s">
        <v>63</v>
      </c>
      <c r="C31" s="24"/>
      <c r="D31" s="24"/>
      <c r="E31" s="24"/>
      <c r="F31" s="24"/>
      <c r="G31" s="24"/>
      <c r="H31" s="24"/>
      <c r="I31" s="24"/>
    </row>
    <row r="32" spans="1:9" x14ac:dyDescent="0.25">
      <c r="A32" s="31"/>
      <c r="B32" s="32" t="s">
        <v>64</v>
      </c>
      <c r="C32" s="33">
        <f>SUM(C8:C31)</f>
        <v>54660</v>
      </c>
      <c r="D32" s="33"/>
      <c r="E32" s="33"/>
      <c r="F32" s="33"/>
      <c r="G32" s="33" t="s">
        <v>65</v>
      </c>
      <c r="H32" s="33"/>
      <c r="I32" s="33"/>
    </row>
    <row r="33" spans="1:9" x14ac:dyDescent="0.25">
      <c r="A33" s="31"/>
      <c r="B33" s="32" t="s">
        <v>66</v>
      </c>
      <c r="C33" s="33">
        <f>E7+H7</f>
        <v>1568</v>
      </c>
      <c r="D33" s="33"/>
      <c r="E33" s="33"/>
      <c r="F33" s="33"/>
      <c r="G33" s="33" t="s">
        <v>67</v>
      </c>
      <c r="H33" s="33"/>
      <c r="I33" s="33"/>
    </row>
    <row r="34" spans="1:9" x14ac:dyDescent="0.25">
      <c r="A34" s="31"/>
      <c r="B34" s="32" t="s">
        <v>68</v>
      </c>
      <c r="C34" s="33">
        <f>C32-C33</f>
        <v>53092</v>
      </c>
      <c r="D34" s="33"/>
      <c r="E34" s="33"/>
      <c r="F34" s="33"/>
      <c r="G34" s="33"/>
      <c r="H34" s="33"/>
      <c r="I34" s="33"/>
    </row>
    <row r="35" spans="1:9" ht="15.75" x14ac:dyDescent="0.25">
      <c r="A35" s="31"/>
      <c r="B35" s="53" t="s">
        <v>69</v>
      </c>
      <c r="C35" s="33">
        <f>5+9+10+5+2+5+4+2+0+2+3+4</f>
        <v>51</v>
      </c>
      <c r="D35" s="34"/>
      <c r="E35" s="34"/>
      <c r="F35" s="37"/>
      <c r="G35" s="37"/>
      <c r="H35" s="37"/>
      <c r="I35" s="37"/>
    </row>
    <row r="36" spans="1:9" ht="15.75" x14ac:dyDescent="0.25">
      <c r="A36" s="31"/>
      <c r="B36" s="55" t="s">
        <v>4</v>
      </c>
      <c r="C36" s="53"/>
      <c r="D36" s="34"/>
      <c r="E36" s="34"/>
      <c r="F36" s="37"/>
      <c r="G36" s="37"/>
      <c r="H36" s="37"/>
      <c r="I36" s="37"/>
    </row>
    <row r="37" spans="1:9" ht="15.75" x14ac:dyDescent="0.25">
      <c r="A37" s="35"/>
      <c r="B37" s="39" t="s">
        <v>70</v>
      </c>
      <c r="C37" s="34">
        <f>5+9+10+4+2+3+4+2+0+2+3+4</f>
        <v>48</v>
      </c>
      <c r="D37" s="37"/>
      <c r="E37" s="37"/>
      <c r="F37" s="37"/>
      <c r="G37" s="37"/>
      <c r="H37" s="37"/>
      <c r="I37" s="37"/>
    </row>
    <row r="38" spans="1:9" ht="15.75" x14ac:dyDescent="0.25">
      <c r="A38" s="35"/>
      <c r="B38" s="39" t="s">
        <v>71</v>
      </c>
      <c r="C38" s="34">
        <f>0+0+0+1+0+2+0+0+0+0+0+0</f>
        <v>3</v>
      </c>
      <c r="D38" s="37"/>
      <c r="E38" s="37"/>
      <c r="F38" s="37"/>
      <c r="G38" s="37"/>
      <c r="H38" s="37"/>
      <c r="I38" s="3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10009-4E79-438F-B098-A6C110546031}">
  <dimension ref="A1:I39"/>
  <sheetViews>
    <sheetView workbookViewId="0">
      <selection activeCell="K30" sqref="K30"/>
    </sheetView>
  </sheetViews>
  <sheetFormatPr defaultRowHeight="15" x14ac:dyDescent="0.25"/>
  <cols>
    <col min="2" max="2" width="49.85546875" bestFit="1" customWidth="1"/>
  </cols>
  <sheetData>
    <row r="1" spans="1:9" x14ac:dyDescent="0.25">
      <c r="A1" s="69" t="s">
        <v>0</v>
      </c>
      <c r="B1" s="70"/>
      <c r="C1" s="70"/>
      <c r="D1" s="70"/>
      <c r="E1" s="70"/>
      <c r="F1" s="71"/>
      <c r="G1" s="70"/>
      <c r="H1" s="70"/>
      <c r="I1" s="71"/>
    </row>
    <row r="2" spans="1:9" x14ac:dyDescent="0.25">
      <c r="A2" s="31"/>
      <c r="B2" s="73" t="s">
        <v>83</v>
      </c>
      <c r="C2" s="70"/>
      <c r="D2" s="70"/>
      <c r="E2" s="70"/>
      <c r="F2" s="71"/>
      <c r="G2" s="70"/>
      <c r="H2" s="70"/>
      <c r="I2" s="71"/>
    </row>
    <row r="3" spans="1:9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</row>
    <row r="4" spans="1:9" x14ac:dyDescent="0.25">
      <c r="A4" s="7" t="s">
        <v>3</v>
      </c>
      <c r="B4" s="8"/>
      <c r="C4" s="8"/>
      <c r="D4" s="9" t="s">
        <v>4</v>
      </c>
      <c r="E4" s="10"/>
      <c r="F4" s="11"/>
      <c r="G4" s="10"/>
      <c r="H4" s="10"/>
      <c r="I4" s="12"/>
    </row>
    <row r="5" spans="1:9" x14ac:dyDescent="0.25">
      <c r="A5" s="13" t="s">
        <v>5</v>
      </c>
      <c r="B5" s="14" t="s">
        <v>6</v>
      </c>
      <c r="C5" s="15" t="s">
        <v>7</v>
      </c>
      <c r="D5" s="16" t="s">
        <v>8</v>
      </c>
      <c r="E5" s="17"/>
      <c r="F5" s="17"/>
      <c r="G5" s="18" t="s">
        <v>9</v>
      </c>
      <c r="H5" s="17"/>
      <c r="I5" s="17"/>
    </row>
    <row r="6" spans="1:9" x14ac:dyDescent="0.25">
      <c r="A6" s="19" t="s">
        <v>10</v>
      </c>
      <c r="B6" s="20"/>
      <c r="C6" s="20"/>
      <c r="D6" s="21" t="s">
        <v>11</v>
      </c>
      <c r="E6" s="21" t="s">
        <v>12</v>
      </c>
      <c r="F6" s="21" t="s">
        <v>13</v>
      </c>
      <c r="G6" s="21" t="s">
        <v>14</v>
      </c>
      <c r="H6" s="21" t="s">
        <v>12</v>
      </c>
      <c r="I6" s="21" t="s">
        <v>13</v>
      </c>
    </row>
    <row r="7" spans="1:9" x14ac:dyDescent="0.25">
      <c r="A7" s="21">
        <v>0</v>
      </c>
      <c r="B7" s="22" t="s">
        <v>15</v>
      </c>
      <c r="C7" s="23">
        <f>17842+46263+52366+38262+34079+34552+36220+32115+46978+41479+43538+12078</f>
        <v>435772</v>
      </c>
      <c r="D7" s="24"/>
      <c r="E7" s="24">
        <f>8938+25676+12797+9060+4157+4962+916+1550</f>
        <v>68056</v>
      </c>
      <c r="F7" s="24"/>
      <c r="G7" s="24"/>
      <c r="H7" s="24">
        <f>8904+20587+39569+29202+29922+29590+35304+32115+46978+39929+43538+12078</f>
        <v>367716</v>
      </c>
      <c r="I7" s="24"/>
    </row>
    <row r="8" spans="1:9" x14ac:dyDescent="0.25">
      <c r="A8" s="21" t="s">
        <v>16</v>
      </c>
      <c r="B8" s="25" t="s">
        <v>17</v>
      </c>
      <c r="C8" s="24">
        <f>8938+25676+12797+9060+4157+4962+916+1550</f>
        <v>68056</v>
      </c>
      <c r="D8" s="24"/>
      <c r="E8" s="24">
        <f>8938+25676+12797+9060+4157+4962+916+1550</f>
        <v>68056</v>
      </c>
      <c r="F8" s="24"/>
      <c r="G8" s="24"/>
      <c r="H8" s="24"/>
      <c r="I8" s="24"/>
    </row>
    <row r="9" spans="1:9" x14ac:dyDescent="0.25">
      <c r="A9" s="21" t="s">
        <v>18</v>
      </c>
      <c r="B9" s="26" t="s">
        <v>19</v>
      </c>
      <c r="C9" s="24"/>
      <c r="D9" s="24"/>
      <c r="E9" s="24"/>
      <c r="F9" s="24"/>
      <c r="G9" s="24"/>
      <c r="H9" s="24"/>
      <c r="I9" s="24"/>
    </row>
    <row r="10" spans="1:9" x14ac:dyDescent="0.25">
      <c r="A10" s="21" t="s">
        <v>20</v>
      </c>
      <c r="B10" s="25" t="s">
        <v>21</v>
      </c>
      <c r="C10" s="24"/>
      <c r="D10" s="24"/>
      <c r="E10" s="24"/>
      <c r="F10" s="24"/>
      <c r="G10" s="24"/>
      <c r="H10" s="24"/>
      <c r="I10" s="24"/>
    </row>
    <row r="11" spans="1:9" x14ac:dyDescent="0.25">
      <c r="A11" s="21" t="s">
        <v>22</v>
      </c>
      <c r="B11" s="27" t="s">
        <v>23</v>
      </c>
      <c r="C11" s="24"/>
      <c r="D11" s="24"/>
      <c r="E11" s="24"/>
      <c r="F11" s="24"/>
      <c r="G11" s="24"/>
      <c r="H11" s="24"/>
      <c r="I11" s="24"/>
    </row>
    <row r="12" spans="1:9" x14ac:dyDescent="0.25">
      <c r="A12" s="21" t="s">
        <v>24</v>
      </c>
      <c r="B12" s="25" t="s">
        <v>25</v>
      </c>
      <c r="C12" s="24"/>
      <c r="D12" s="24"/>
      <c r="E12" s="24"/>
      <c r="F12" s="24"/>
      <c r="G12" s="24"/>
      <c r="H12" s="24"/>
      <c r="I12" s="24"/>
    </row>
    <row r="13" spans="1:9" x14ac:dyDescent="0.25">
      <c r="A13" s="21" t="s">
        <v>26</v>
      </c>
      <c r="B13" s="25" t="s">
        <v>27</v>
      </c>
      <c r="C13" s="24">
        <f>400+1315+1477+1937+1400+2033+1202+508+1624+929</f>
        <v>12825</v>
      </c>
      <c r="D13" s="24"/>
      <c r="E13" s="24"/>
      <c r="F13" s="24"/>
      <c r="G13" s="24"/>
      <c r="H13" s="24">
        <f>400+1315+1477+1937+1400+2033+1202+508+1624+929</f>
        <v>12825</v>
      </c>
      <c r="I13" s="24"/>
    </row>
    <row r="14" spans="1:9" x14ac:dyDescent="0.25">
      <c r="A14" s="21" t="s">
        <v>28</v>
      </c>
      <c r="B14" s="27" t="s">
        <v>29</v>
      </c>
      <c r="C14" s="28">
        <f>3384+3104+607</f>
        <v>7095</v>
      </c>
      <c r="D14" s="28"/>
      <c r="E14" s="28"/>
      <c r="F14" s="29"/>
      <c r="G14" s="28"/>
      <c r="H14" s="28">
        <f>3384+3104+607</f>
        <v>7095</v>
      </c>
      <c r="I14" s="28"/>
    </row>
    <row r="15" spans="1:9" ht="27" x14ac:dyDescent="0.25">
      <c r="A15" s="21" t="s">
        <v>30</v>
      </c>
      <c r="B15" s="25" t="s">
        <v>31</v>
      </c>
      <c r="C15" s="24">
        <f>5120+16168+37485+27265+28522+29590+33271+30913+46978+39421+41914+11149</f>
        <v>347796</v>
      </c>
      <c r="D15" s="24"/>
      <c r="E15" s="24"/>
      <c r="F15" s="24"/>
      <c r="G15" s="24"/>
      <c r="H15" s="24">
        <f>5120+16168+37485+27265+28522+29590+33271+30913+46978+39421+41914+11149</f>
        <v>347796</v>
      </c>
      <c r="I15" s="24"/>
    </row>
    <row r="16" spans="1:9" x14ac:dyDescent="0.25">
      <c r="A16" s="21" t="s">
        <v>32</v>
      </c>
      <c r="B16" s="25" t="s">
        <v>33</v>
      </c>
      <c r="C16" s="24"/>
      <c r="D16" s="24"/>
      <c r="E16" s="24"/>
      <c r="F16" s="24"/>
      <c r="G16" s="24"/>
      <c r="H16" s="24"/>
      <c r="I16" s="24"/>
    </row>
    <row r="17" spans="1:9" x14ac:dyDescent="0.25">
      <c r="A17" s="21" t="s">
        <v>34</v>
      </c>
      <c r="B17" s="25" t="s">
        <v>35</v>
      </c>
      <c r="C17" s="24"/>
      <c r="D17" s="24"/>
      <c r="E17" s="24"/>
      <c r="F17" s="24"/>
      <c r="G17" s="24"/>
      <c r="H17" s="24"/>
      <c r="I17" s="24"/>
    </row>
    <row r="18" spans="1:9" ht="27" x14ac:dyDescent="0.25">
      <c r="A18" s="21" t="s">
        <v>36</v>
      </c>
      <c r="B18" s="27" t="s">
        <v>37</v>
      </c>
      <c r="C18" s="24"/>
      <c r="D18" s="24"/>
      <c r="E18" s="24"/>
      <c r="F18" s="24"/>
      <c r="G18" s="24"/>
      <c r="H18" s="24"/>
      <c r="I18" s="24"/>
    </row>
    <row r="19" spans="1:9" x14ac:dyDescent="0.25">
      <c r="A19" s="21" t="s">
        <v>38</v>
      </c>
      <c r="B19" s="25" t="s">
        <v>39</v>
      </c>
      <c r="C19" s="24"/>
      <c r="D19" s="24"/>
      <c r="E19" s="24"/>
      <c r="F19" s="24"/>
      <c r="G19" s="24"/>
      <c r="H19" s="24"/>
      <c r="I19" s="24"/>
    </row>
    <row r="20" spans="1:9" x14ac:dyDescent="0.25">
      <c r="A20" s="21" t="s">
        <v>40</v>
      </c>
      <c r="B20" s="25" t="s">
        <v>41</v>
      </c>
      <c r="C20" s="24"/>
      <c r="D20" s="24"/>
      <c r="E20" s="24"/>
      <c r="F20" s="24"/>
      <c r="G20" s="24"/>
      <c r="H20" s="24"/>
      <c r="I20" s="24"/>
    </row>
    <row r="21" spans="1:9" x14ac:dyDescent="0.25">
      <c r="A21" s="21" t="s">
        <v>42</v>
      </c>
      <c r="B21" s="25" t="s">
        <v>43</v>
      </c>
      <c r="C21" s="24"/>
      <c r="D21" s="24"/>
      <c r="E21" s="24"/>
      <c r="F21" s="24"/>
      <c r="G21" s="24"/>
      <c r="H21" s="24"/>
      <c r="I21" s="24"/>
    </row>
    <row r="22" spans="1:9" x14ac:dyDescent="0.25">
      <c r="A22" s="21" t="s">
        <v>44</v>
      </c>
      <c r="B22" s="25" t="s">
        <v>45</v>
      </c>
      <c r="C22" s="24"/>
      <c r="D22" s="24"/>
      <c r="E22" s="24"/>
      <c r="F22" s="24"/>
      <c r="G22" s="24"/>
      <c r="H22" s="24"/>
      <c r="I22" s="24"/>
    </row>
    <row r="23" spans="1:9" x14ac:dyDescent="0.25">
      <c r="A23" s="21" t="s">
        <v>46</v>
      </c>
      <c r="B23" s="25" t="s">
        <v>47</v>
      </c>
      <c r="C23" s="24"/>
      <c r="D23" s="24"/>
      <c r="E23" s="24"/>
      <c r="F23" s="24"/>
      <c r="G23" s="24"/>
      <c r="H23" s="24"/>
      <c r="I23" s="24"/>
    </row>
    <row r="24" spans="1:9" x14ac:dyDescent="0.25">
      <c r="A24" s="21" t="s">
        <v>48</v>
      </c>
      <c r="B24" s="25" t="s">
        <v>49</v>
      </c>
      <c r="C24" s="24"/>
      <c r="D24" s="24"/>
      <c r="E24" s="24"/>
      <c r="F24" s="24"/>
      <c r="G24" s="24"/>
      <c r="H24" s="24"/>
      <c r="I24" s="24"/>
    </row>
    <row r="25" spans="1:9" x14ac:dyDescent="0.25">
      <c r="A25" s="21" t="s">
        <v>50</v>
      </c>
      <c r="B25" s="25" t="s">
        <v>51</v>
      </c>
      <c r="C25" s="24"/>
      <c r="D25" s="24"/>
      <c r="E25" s="24"/>
      <c r="F25" s="24"/>
      <c r="G25" s="24"/>
      <c r="H25" s="24"/>
      <c r="I25" s="24"/>
    </row>
    <row r="26" spans="1:9" x14ac:dyDescent="0.25">
      <c r="A26" s="21" t="s">
        <v>52</v>
      </c>
      <c r="B26" s="25" t="s">
        <v>53</v>
      </c>
      <c r="C26" s="24"/>
      <c r="D26" s="24"/>
      <c r="E26" s="24"/>
      <c r="F26" s="30"/>
      <c r="G26" s="24"/>
      <c r="H26" s="24"/>
      <c r="I26" s="24"/>
    </row>
    <row r="27" spans="1:9" x14ac:dyDescent="0.25">
      <c r="A27" s="21" t="s">
        <v>54</v>
      </c>
      <c r="B27" s="25" t="s">
        <v>55</v>
      </c>
      <c r="C27" s="24"/>
      <c r="D27" s="24"/>
      <c r="E27" s="24"/>
      <c r="F27" s="24"/>
      <c r="G27" s="24"/>
      <c r="H27" s="24"/>
      <c r="I27" s="24"/>
    </row>
    <row r="28" spans="1:9" x14ac:dyDescent="0.25">
      <c r="A28" s="21" t="s">
        <v>56</v>
      </c>
      <c r="B28" s="25" t="s">
        <v>57</v>
      </c>
      <c r="C28" s="24"/>
      <c r="D28" s="24"/>
      <c r="E28" s="24"/>
      <c r="F28" s="24"/>
      <c r="G28" s="24"/>
      <c r="H28" s="24"/>
      <c r="I28" s="24"/>
    </row>
    <row r="29" spans="1:9" x14ac:dyDescent="0.25">
      <c r="A29" s="21" t="s">
        <v>58</v>
      </c>
      <c r="B29" s="25" t="s">
        <v>59</v>
      </c>
      <c r="C29" s="24"/>
      <c r="D29" s="24"/>
      <c r="E29" s="24"/>
      <c r="F29" s="24"/>
      <c r="G29" s="24"/>
      <c r="H29" s="24"/>
      <c r="I29" s="24"/>
    </row>
    <row r="30" spans="1:9" x14ac:dyDescent="0.25">
      <c r="A30" s="21" t="s">
        <v>60</v>
      </c>
      <c r="B30" s="27" t="s">
        <v>61</v>
      </c>
      <c r="C30" s="24"/>
      <c r="D30" s="24"/>
      <c r="E30" s="24"/>
      <c r="F30" s="24"/>
      <c r="G30" s="24"/>
      <c r="H30" s="24"/>
      <c r="I30" s="24"/>
    </row>
    <row r="31" spans="1:9" x14ac:dyDescent="0.25">
      <c r="A31" s="21" t="s">
        <v>62</v>
      </c>
      <c r="B31" s="25" t="s">
        <v>63</v>
      </c>
      <c r="C31" s="24"/>
      <c r="D31" s="24"/>
      <c r="E31" s="24"/>
      <c r="F31" s="24"/>
      <c r="G31" s="24"/>
      <c r="H31" s="24"/>
      <c r="I31" s="24"/>
    </row>
    <row r="32" spans="1:9" x14ac:dyDescent="0.25">
      <c r="A32" s="31"/>
      <c r="B32" s="41" t="s">
        <v>64</v>
      </c>
      <c r="C32" s="42">
        <f>SUM(C8:C31)</f>
        <v>435772</v>
      </c>
      <c r="D32" s="42"/>
      <c r="E32" s="42"/>
      <c r="F32" s="42"/>
      <c r="G32" s="42" t="s">
        <v>65</v>
      </c>
      <c r="H32" s="42"/>
      <c r="I32" s="42"/>
    </row>
    <row r="33" spans="1:9" x14ac:dyDescent="0.25">
      <c r="A33" s="31"/>
      <c r="B33" s="41" t="s">
        <v>66</v>
      </c>
      <c r="C33" s="42">
        <f>E7+H7</f>
        <v>435772</v>
      </c>
      <c r="D33" s="42"/>
      <c r="E33" s="42"/>
      <c r="F33" s="42"/>
      <c r="G33" s="42" t="s">
        <v>67</v>
      </c>
      <c r="H33" s="42"/>
      <c r="I33" s="42"/>
    </row>
    <row r="34" spans="1:9" x14ac:dyDescent="0.25">
      <c r="A34" s="31"/>
      <c r="B34" s="41" t="s">
        <v>68</v>
      </c>
      <c r="C34" s="42">
        <f>C32-C33</f>
        <v>0</v>
      </c>
      <c r="D34" s="42"/>
      <c r="E34" s="42"/>
      <c r="F34" s="42"/>
      <c r="G34" s="42"/>
      <c r="H34" s="42"/>
      <c r="I34" s="42"/>
    </row>
    <row r="35" spans="1:9" x14ac:dyDescent="0.25">
      <c r="A35" s="31"/>
      <c r="B35" s="85" t="s">
        <v>69</v>
      </c>
      <c r="C35" s="42">
        <v>376</v>
      </c>
      <c r="D35" s="42"/>
      <c r="E35" s="42"/>
      <c r="F35" s="89"/>
      <c r="G35" s="89"/>
      <c r="H35" s="89"/>
      <c r="I35" s="89"/>
    </row>
    <row r="36" spans="1:9" x14ac:dyDescent="0.25">
      <c r="A36" s="31"/>
      <c r="B36" s="86" t="s">
        <v>4</v>
      </c>
      <c r="C36" s="42"/>
      <c r="D36" s="42"/>
      <c r="E36" s="42"/>
      <c r="F36" s="89"/>
      <c r="G36" s="89"/>
      <c r="H36" s="89"/>
      <c r="I36" s="89"/>
    </row>
    <row r="37" spans="1:9" x14ac:dyDescent="0.25">
      <c r="A37" s="31"/>
      <c r="B37" s="86" t="s">
        <v>70</v>
      </c>
      <c r="C37" s="42">
        <v>308</v>
      </c>
      <c r="D37" s="89"/>
      <c r="E37" s="89"/>
      <c r="F37" s="89"/>
      <c r="G37" s="89"/>
      <c r="H37" s="89"/>
      <c r="I37" s="89"/>
    </row>
    <row r="38" spans="1:9" x14ac:dyDescent="0.25">
      <c r="A38" s="31"/>
      <c r="B38" s="86"/>
      <c r="C38" s="42"/>
      <c r="D38" s="89"/>
      <c r="E38" s="89"/>
      <c r="F38" s="89"/>
      <c r="G38" s="89"/>
      <c r="H38" s="89"/>
      <c r="I38" s="89"/>
    </row>
    <row r="39" spans="1:9" x14ac:dyDescent="0.25">
      <c r="A39" s="31"/>
      <c r="B39" s="86" t="s">
        <v>71</v>
      </c>
      <c r="C39" s="89">
        <v>68</v>
      </c>
      <c r="D39" s="89"/>
      <c r="E39" s="89"/>
      <c r="F39" s="89"/>
      <c r="G39" s="89"/>
      <c r="H39" s="89"/>
      <c r="I39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Moldova Veche 2022</vt:lpstr>
      <vt:lpstr>Orsova 2022</vt:lpstr>
      <vt:lpstr>Severin 2022</vt:lpstr>
      <vt:lpstr>Calafat 2022</vt:lpstr>
      <vt:lpstr>Bechet 2022</vt:lpstr>
      <vt:lpstr>Corabia 2022</vt:lpstr>
      <vt:lpstr>Giurgiu 2022</vt:lpstr>
      <vt:lpstr>Oltenita 2022</vt:lpstr>
      <vt:lpstr>Chiciu 2022</vt:lpstr>
      <vt:lpstr>Calarasi Com 2022</vt:lpstr>
      <vt:lpstr>Calarasi Ind 2022</vt:lpstr>
      <vt:lpstr>Cernavoda 2022</vt:lpstr>
      <vt:lpstr>Total marfa an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2023-06-20T06:32:03Z</dcterms:created>
  <dcterms:modified xsi:type="dcterms:W3CDTF">2023-06-20T07:17:41Z</dcterms:modified>
</cp:coreProperties>
</file>