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7197B65-723D-4FEE-AB1F-04AA247B2DF4}" xr6:coauthVersionLast="47" xr6:coauthVersionMax="47" xr10:uidLastSave="{00000000-0000-0000-0000-000000000000}"/>
  <bookViews>
    <workbookView xWindow="-120" yWindow="-120" windowWidth="21840" windowHeight="13290" tabRatio="755" firstSheet="13" activeTab="17" xr2:uid="{00000000-000D-0000-FFFF-FFFF00000000}"/>
  </bookViews>
  <sheets>
    <sheet name="Sheet2" sheetId="2" state="hidden" r:id="rId1"/>
    <sheet name="MOLDOVA V" sheetId="3" r:id="rId2"/>
    <sheet name="ORSOVA" sheetId="4" r:id="rId3"/>
    <sheet name="Dr.Tr.Severin" sheetId="14" r:id="rId4"/>
    <sheet name="CALAFAT" sheetId="6" r:id="rId5"/>
    <sheet name="BECHET" sheetId="5" r:id="rId6"/>
    <sheet name="CORABIA" sheetId="7" r:id="rId7"/>
    <sheet name="GIURGIU" sheetId="13" r:id="rId8"/>
    <sheet name="OLTENITA" sheetId="8" r:id="rId9"/>
    <sheet name="CHICIU" sheetId="11" r:id="rId10"/>
    <sheet name="CALARASI COM" sheetId="12" r:id="rId11"/>
    <sheet name="CALARASI INDUS." sheetId="9" r:id="rId12"/>
    <sheet name="Cernavoda " sheetId="1" r:id="rId13"/>
    <sheet name="Total trafic 2021 " sheetId="15" r:id="rId14"/>
    <sheet name="Trafic marfa trim. I-2021" sheetId="16" r:id="rId15"/>
    <sheet name="Trafic marfa trim.II-2021" sheetId="17" r:id="rId16"/>
    <sheet name="Trafic marfa trim.III-2021" sheetId="18" r:id="rId17"/>
    <sheet name="Trafic marfa trim.IV- 2021" sheetId="19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8" l="1"/>
  <c r="C39" i="19"/>
  <c r="C38" i="19"/>
  <c r="C36" i="19"/>
  <c r="C8" i="19"/>
  <c r="H8" i="19"/>
  <c r="H16" i="19"/>
  <c r="C16" i="19"/>
  <c r="F8" i="19"/>
  <c r="I8" i="19"/>
  <c r="F13" i="19"/>
  <c r="C13" i="19"/>
  <c r="I32" i="19"/>
  <c r="C32" i="19"/>
  <c r="G30" i="19"/>
  <c r="C30" i="19"/>
  <c r="G29" i="19"/>
  <c r="C29" i="19"/>
  <c r="G26" i="19"/>
  <c r="C26" i="19"/>
  <c r="I23" i="19"/>
  <c r="G23" i="19"/>
  <c r="D23" i="19"/>
  <c r="C23" i="19"/>
  <c r="G18" i="19"/>
  <c r="C18" i="19"/>
  <c r="F17" i="19"/>
  <c r="C17" i="19"/>
  <c r="I16" i="19"/>
  <c r="I15" i="19"/>
  <c r="G15" i="19"/>
  <c r="C15" i="19"/>
  <c r="I14" i="19"/>
  <c r="H14" i="19"/>
  <c r="C14" i="19"/>
  <c r="D13" i="19"/>
  <c r="F9" i="19"/>
  <c r="E9" i="19"/>
  <c r="D9" i="19"/>
  <c r="C9" i="19"/>
  <c r="G8" i="19"/>
  <c r="E8" i="19"/>
  <c r="D8" i="19"/>
  <c r="H15" i="19"/>
  <c r="D15" i="19"/>
  <c r="G32" i="19"/>
  <c r="I26" i="19"/>
  <c r="F26" i="19"/>
  <c r="D17" i="19"/>
  <c r="G16" i="19"/>
  <c r="F15" i="19"/>
  <c r="I9" i="19"/>
  <c r="D8" i="18"/>
  <c r="E8" i="18"/>
  <c r="I29" i="18"/>
  <c r="G29" i="18"/>
  <c r="F29" i="18"/>
  <c r="C29" i="18"/>
  <c r="G28" i="18"/>
  <c r="C28" i="18"/>
  <c r="G26" i="18"/>
  <c r="C26" i="18"/>
  <c r="I23" i="18"/>
  <c r="G23" i="18"/>
  <c r="D23" i="18"/>
  <c r="C23" i="18"/>
  <c r="F17" i="18"/>
  <c r="C17" i="18"/>
  <c r="I16" i="18"/>
  <c r="H16" i="18"/>
  <c r="C16" i="18"/>
  <c r="I15" i="18"/>
  <c r="H15" i="18"/>
  <c r="G15" i="18"/>
  <c r="D15" i="18"/>
  <c r="C15" i="18"/>
  <c r="I14" i="18"/>
  <c r="H14" i="18"/>
  <c r="C14" i="18"/>
  <c r="F13" i="18"/>
  <c r="D13" i="18"/>
  <c r="C13" i="18"/>
  <c r="G9" i="18"/>
  <c r="F9" i="18"/>
  <c r="E9" i="18"/>
  <c r="D9" i="18"/>
  <c r="C9" i="18"/>
  <c r="I8" i="18"/>
  <c r="H8" i="18"/>
  <c r="G8" i="18"/>
  <c r="F8" i="18"/>
  <c r="C8" i="18"/>
  <c r="I29" i="17"/>
  <c r="G29" i="17"/>
  <c r="C29" i="17"/>
  <c r="G28" i="17"/>
  <c r="C28" i="17"/>
  <c r="G26" i="17"/>
  <c r="C26" i="17"/>
  <c r="I23" i="17"/>
  <c r="G23" i="17"/>
  <c r="D23" i="17"/>
  <c r="C23" i="17"/>
  <c r="F17" i="17"/>
  <c r="C17" i="17"/>
  <c r="I16" i="17"/>
  <c r="H16" i="17"/>
  <c r="G16" i="17"/>
  <c r="C16" i="17"/>
  <c r="I15" i="17"/>
  <c r="H15" i="17"/>
  <c r="G15" i="17"/>
  <c r="C15" i="17"/>
  <c r="I14" i="17"/>
  <c r="H14" i="17"/>
  <c r="C14" i="17"/>
  <c r="I9" i="17"/>
  <c r="G9" i="17"/>
  <c r="F9" i="17"/>
  <c r="E9" i="17"/>
  <c r="D9" i="17"/>
  <c r="C9" i="17"/>
  <c r="I8" i="17"/>
  <c r="H8" i="17"/>
  <c r="G8" i="17"/>
  <c r="F8" i="17"/>
  <c r="E8" i="17"/>
  <c r="D8" i="17"/>
  <c r="C8" i="17"/>
  <c r="G29" i="16"/>
  <c r="G32" i="16"/>
  <c r="C32" i="16"/>
  <c r="D29" i="16"/>
  <c r="C29" i="16"/>
  <c r="G28" i="16"/>
  <c r="C28" i="16"/>
  <c r="I26" i="16"/>
  <c r="G26" i="16"/>
  <c r="C26" i="16"/>
  <c r="G25" i="16"/>
  <c r="C25" i="16"/>
  <c r="I23" i="16"/>
  <c r="G23" i="16"/>
  <c r="D23" i="16"/>
  <c r="C23" i="16"/>
  <c r="G18" i="16"/>
  <c r="C18" i="16"/>
  <c r="F17" i="16"/>
  <c r="C17" i="16"/>
  <c r="I16" i="16"/>
  <c r="H16" i="16"/>
  <c r="G16" i="16"/>
  <c r="C16" i="16"/>
  <c r="I15" i="16"/>
  <c r="H15" i="16"/>
  <c r="G15" i="16"/>
  <c r="C15" i="16"/>
  <c r="I14" i="16"/>
  <c r="H14" i="16"/>
  <c r="G14" i="16"/>
  <c r="E14" i="16"/>
  <c r="C14" i="16"/>
  <c r="F13" i="16"/>
  <c r="D13" i="16"/>
  <c r="C13" i="16"/>
  <c r="G9" i="16"/>
  <c r="F9" i="16"/>
  <c r="E9" i="16"/>
  <c r="C9" i="16"/>
  <c r="I8" i="16"/>
  <c r="H8" i="16"/>
  <c r="G8" i="16"/>
  <c r="F8" i="16"/>
  <c r="E8" i="16"/>
  <c r="D8" i="16"/>
  <c r="C8" i="16"/>
  <c r="C37" i="15" l="1"/>
  <c r="C36" i="15"/>
  <c r="C34" i="15"/>
  <c r="I32" i="15"/>
  <c r="G32" i="15"/>
  <c r="C32" i="15"/>
  <c r="G30" i="15"/>
  <c r="C30" i="15"/>
  <c r="I29" i="15"/>
  <c r="G29" i="15"/>
  <c r="F29" i="15"/>
  <c r="D29" i="15"/>
  <c r="C29" i="15"/>
  <c r="G28" i="15"/>
  <c r="C28" i="15"/>
  <c r="I26" i="15"/>
  <c r="G26" i="15"/>
  <c r="F26" i="15"/>
  <c r="C26" i="15"/>
  <c r="I23" i="15"/>
  <c r="G23" i="15"/>
  <c r="D23" i="15"/>
  <c r="C23" i="15"/>
  <c r="G18" i="15"/>
  <c r="C18" i="15"/>
  <c r="F17" i="15"/>
  <c r="D17" i="15"/>
  <c r="C17" i="15"/>
  <c r="I16" i="15"/>
  <c r="H16" i="15"/>
  <c r="G16" i="15"/>
  <c r="C16" i="15"/>
  <c r="I15" i="15"/>
  <c r="H15" i="15"/>
  <c r="G15" i="15"/>
  <c r="F15" i="15"/>
  <c r="D15" i="15"/>
  <c r="C15" i="15"/>
  <c r="I14" i="15"/>
  <c r="H14" i="15"/>
  <c r="E14" i="15"/>
  <c r="C14" i="15"/>
  <c r="F13" i="15"/>
  <c r="D13" i="15"/>
  <c r="C13" i="15"/>
  <c r="I9" i="15"/>
  <c r="G9" i="15"/>
  <c r="F9" i="15"/>
  <c r="E9" i="15"/>
  <c r="D9" i="15"/>
  <c r="C9" i="15"/>
  <c r="I8" i="15"/>
  <c r="H8" i="15"/>
  <c r="G8" i="15"/>
  <c r="F8" i="15"/>
  <c r="E8" i="15"/>
  <c r="D8" i="15"/>
  <c r="C8" i="15"/>
  <c r="C9" i="3"/>
  <c r="C13" i="3"/>
  <c r="F13" i="3"/>
  <c r="F8" i="3"/>
  <c r="F9" i="3"/>
  <c r="C8" i="3"/>
  <c r="G8" i="3"/>
  <c r="G15" i="3"/>
  <c r="C15" i="3"/>
  <c r="F17" i="3"/>
  <c r="C17" i="3"/>
  <c r="D8" i="3"/>
  <c r="D13" i="3"/>
  <c r="D7" i="13"/>
  <c r="D12" i="13"/>
  <c r="C13" i="12"/>
  <c r="H13" i="12"/>
  <c r="H7" i="12"/>
  <c r="F8" i="8"/>
  <c r="G7" i="6"/>
  <c r="C7" i="6"/>
  <c r="C7" i="8"/>
  <c r="G7" i="8"/>
  <c r="G14" i="8"/>
  <c r="C14" i="8"/>
  <c r="F7" i="8"/>
  <c r="G28" i="8"/>
  <c r="C28" i="8"/>
  <c r="H28" i="13"/>
  <c r="D8" i="6"/>
  <c r="F8" i="6"/>
  <c r="F7" i="6"/>
  <c r="D7" i="6"/>
  <c r="G14" i="6"/>
  <c r="C8" i="6"/>
  <c r="C7" i="4" l="1"/>
  <c r="G7" i="4"/>
  <c r="C14" i="4" l="1"/>
  <c r="C16" i="4"/>
  <c r="G15" i="4"/>
  <c r="C31" i="4"/>
  <c r="G14" i="4"/>
  <c r="C15" i="4"/>
  <c r="F8" i="4" l="1"/>
  <c r="C8" i="4"/>
  <c r="C14" i="5" l="1"/>
  <c r="G7" i="5"/>
  <c r="G22" i="5"/>
  <c r="C22" i="5"/>
  <c r="G14" i="5" l="1"/>
  <c r="G11" i="14" l="1"/>
  <c r="C11" i="14" l="1"/>
  <c r="D11" i="14"/>
  <c r="G32" i="14" l="1"/>
  <c r="C32" i="14"/>
  <c r="F8" i="7" l="1"/>
  <c r="F7" i="7"/>
  <c r="G31" i="4" l="1"/>
  <c r="F7" i="4"/>
  <c r="C7" i="11"/>
  <c r="H14" i="11"/>
  <c r="C14" i="11"/>
  <c r="H13" i="11"/>
  <c r="C13" i="11"/>
  <c r="C15" i="11"/>
  <c r="H15" i="11"/>
  <c r="C8" i="11"/>
  <c r="C8" i="8" l="1"/>
  <c r="C8" i="7"/>
  <c r="I14" i="6" l="1"/>
  <c r="I7" i="6"/>
  <c r="C8" i="5" l="1"/>
  <c r="F8" i="5"/>
  <c r="F7" i="5"/>
  <c r="C37" i="4" l="1"/>
  <c r="C36" i="4"/>
  <c r="C34" i="4"/>
  <c r="G17" i="4"/>
  <c r="C17" i="4"/>
  <c r="F16" i="4"/>
  <c r="C40" i="14" l="1"/>
  <c r="C39" i="14"/>
  <c r="C37" i="14"/>
  <c r="G26" i="14"/>
  <c r="D26" i="14"/>
  <c r="C26" i="14"/>
  <c r="F20" i="14"/>
  <c r="C20" i="14"/>
  <c r="G18" i="14"/>
  <c r="C18" i="14"/>
  <c r="F11" i="14"/>
  <c r="D20" i="14" l="1"/>
  <c r="G29" i="14" l="1"/>
  <c r="C29" i="14"/>
  <c r="D32" i="14" l="1"/>
  <c r="D18" i="14"/>
  <c r="D36" i="13" l="1"/>
  <c r="D35" i="13"/>
  <c r="D33" i="13"/>
  <c r="H29" i="13"/>
  <c r="D29" i="13"/>
  <c r="D28" i="13"/>
  <c r="H25" i="13"/>
  <c r="D25" i="13"/>
  <c r="J22" i="13"/>
  <c r="H22" i="13"/>
  <c r="D22" i="13"/>
  <c r="J15" i="13"/>
  <c r="D15" i="13"/>
  <c r="J14" i="13"/>
  <c r="H14" i="13"/>
  <c r="D14" i="13"/>
  <c r="G12" i="13"/>
  <c r="E12" i="13"/>
  <c r="G8" i="13"/>
  <c r="E8" i="13"/>
  <c r="D8" i="13"/>
  <c r="J7" i="13"/>
  <c r="H7" i="13"/>
  <c r="G7" i="13"/>
  <c r="E7" i="13"/>
  <c r="E14" i="13" l="1"/>
  <c r="J25" i="13" l="1"/>
  <c r="H15" i="13"/>
  <c r="G14" i="13"/>
  <c r="J8" i="13"/>
  <c r="J28" i="13" l="1"/>
  <c r="H27" i="13"/>
  <c r="D27" i="13"/>
  <c r="H8" i="13"/>
  <c r="G28" i="13" l="1"/>
  <c r="E28" i="13"/>
  <c r="E22" i="13"/>
  <c r="C36" i="12" l="1"/>
  <c r="C35" i="12"/>
  <c r="C33" i="12"/>
  <c r="H15" i="12"/>
  <c r="C15" i="12"/>
  <c r="C7" i="12"/>
  <c r="C36" i="9" l="1"/>
  <c r="C35" i="9"/>
  <c r="C33" i="9"/>
  <c r="H15" i="9"/>
  <c r="C15" i="9"/>
  <c r="H7" i="9"/>
  <c r="C7" i="9"/>
  <c r="C36" i="11" l="1"/>
  <c r="C35" i="11"/>
  <c r="C33" i="11"/>
  <c r="E8" i="11"/>
  <c r="H7" i="11"/>
  <c r="E7" i="11"/>
  <c r="C33" i="8" l="1"/>
  <c r="C36" i="8"/>
  <c r="C35" i="8"/>
  <c r="G8" i="8" l="1"/>
  <c r="I15" i="8" l="1"/>
  <c r="C15" i="8"/>
  <c r="I7" i="8"/>
  <c r="J7" i="8" s="1"/>
  <c r="I14" i="8" l="1"/>
  <c r="D8" i="7" l="1"/>
  <c r="D7" i="7"/>
  <c r="C7" i="7"/>
  <c r="C36" i="7"/>
  <c r="C35" i="7"/>
  <c r="C33" i="7"/>
  <c r="E8" i="7" l="1"/>
  <c r="E7" i="7"/>
  <c r="C36" i="6" l="1"/>
  <c r="C35" i="6"/>
  <c r="C33" i="6"/>
  <c r="C36" i="5" l="1"/>
  <c r="C35" i="5"/>
  <c r="C33" i="5"/>
  <c r="C7" i="5"/>
  <c r="F25" i="5" l="1"/>
  <c r="F14" i="5"/>
  <c r="C25" i="5" l="1"/>
  <c r="G27" i="4" l="1"/>
  <c r="C27" i="4"/>
  <c r="C36" i="3" l="1"/>
  <c r="C37" i="3"/>
  <c r="C34" i="3"/>
  <c r="D9" i="3"/>
  <c r="C38" i="1" l="1"/>
  <c r="C37" i="1"/>
  <c r="C35" i="1"/>
  <c r="I17" i="1"/>
  <c r="C17" i="1"/>
  <c r="I15" i="1"/>
  <c r="C15" i="1"/>
  <c r="I9" i="1"/>
  <c r="C9" i="1"/>
  <c r="G8" i="6" l="1"/>
  <c r="E7" i="9" l="1"/>
  <c r="E13" i="9"/>
  <c r="C13" i="9"/>
  <c r="H31" i="13" l="1"/>
  <c r="D31" i="13"/>
</calcChain>
</file>

<file path=xl/sharedStrings.xml><?xml version="1.0" encoding="utf-8"?>
<sst xmlns="http://schemas.openxmlformats.org/spreadsheetml/2006/main" count="1316" uniqueCount="90">
  <si>
    <t>ADMINISTRATIA PORTURILOR DUNARII FLUVIALE GIURGIU</t>
  </si>
  <si>
    <t>TRAFIC FLUVIAL DE MĂRFURI</t>
  </si>
  <si>
    <t>Nr.</t>
  </si>
  <si>
    <t>din care:</t>
  </si>
  <si>
    <t/>
  </si>
  <si>
    <t>Grupa de mărfuri</t>
  </si>
  <si>
    <t>Total</t>
  </si>
  <si>
    <t>Incărcări</t>
  </si>
  <si>
    <t>Descărcări</t>
  </si>
  <si>
    <t>crt.</t>
  </si>
  <si>
    <t>Export</t>
  </si>
  <si>
    <t>Tranzit</t>
  </si>
  <si>
    <t>Cabotaj</t>
  </si>
  <si>
    <t>Import</t>
  </si>
  <si>
    <t>Total (1+2+...+25)</t>
  </si>
  <si>
    <t>1.</t>
  </si>
  <si>
    <t>Cereale</t>
  </si>
  <si>
    <t>2.</t>
  </si>
  <si>
    <t>Fructe şi legume proaspete</t>
  </si>
  <si>
    <t>3.</t>
  </si>
  <si>
    <t>Animale vii, sfeclă de zahăr</t>
  </si>
  <si>
    <t>4.</t>
  </si>
  <si>
    <t>Produse alimentare, băuturi, tutun şi nutreţuri animale</t>
  </si>
  <si>
    <t>5.</t>
  </si>
  <si>
    <t>Seminţe (nuci) oleaginoase, uleiuri şi grăsimi</t>
  </si>
  <si>
    <t>6.</t>
  </si>
  <si>
    <t>Lemn, lemn de foc</t>
  </si>
  <si>
    <t>7.</t>
  </si>
  <si>
    <t>Îngrăşăminte (naturale şi chimice)</t>
  </si>
  <si>
    <t>8.</t>
  </si>
  <si>
    <t>Produse minerale brute (de carieră şi balastieră, ipsos, sulfuri, zgură, cretă, sare etc.)</t>
  </si>
  <si>
    <t>9.</t>
  </si>
  <si>
    <t>Minereuri de fier, fier vechi</t>
  </si>
  <si>
    <t>10.</t>
  </si>
  <si>
    <t>Minereuri neferoase</t>
  </si>
  <si>
    <t>11.</t>
  </si>
  <si>
    <t>Textile, produse sintetice şi artificiale; alte materii brute de origine animală sau vegetală (piei, blănuri, cauciuc)</t>
  </si>
  <si>
    <t>12.</t>
  </si>
  <si>
    <t>Pastă şi deşeuri de hârtie</t>
  </si>
  <si>
    <t>13.</t>
  </si>
  <si>
    <t>Combustibili solizi (cărbuni, cocs etc.)</t>
  </si>
  <si>
    <t>14.</t>
  </si>
  <si>
    <t>Petrol brut</t>
  </si>
  <si>
    <t>15.</t>
  </si>
  <si>
    <t>Produse petroliere şi gaz</t>
  </si>
  <si>
    <t>16.</t>
  </si>
  <si>
    <t>Gudroane derivate din cărbuni şi gaze naturale</t>
  </si>
  <si>
    <t>17.</t>
  </si>
  <si>
    <t>Produse chimice</t>
  </si>
  <si>
    <t>18.</t>
  </si>
  <si>
    <t>Var, ciment, materiale de construcţii fabricate</t>
  </si>
  <si>
    <t>19.</t>
  </si>
  <si>
    <t>Sticlă, sticlărie, produse ceramice</t>
  </si>
  <si>
    <t>20.</t>
  </si>
  <si>
    <t>Metale (feroase şi neferoase)</t>
  </si>
  <si>
    <t>21.</t>
  </si>
  <si>
    <t>Articole fabricate din metal</t>
  </si>
  <si>
    <t>22.</t>
  </si>
  <si>
    <t>Maşini, material de transport</t>
  </si>
  <si>
    <t>23.</t>
  </si>
  <si>
    <t>Diverse articole (ţesături, confecţii, încălţăminte, mobilă)</t>
  </si>
  <si>
    <t>24.</t>
  </si>
  <si>
    <t>Alte produse</t>
  </si>
  <si>
    <t>25.</t>
  </si>
  <si>
    <t>Containere</t>
  </si>
  <si>
    <t>Total Nave Operate:</t>
  </si>
  <si>
    <t>româneşti:</t>
  </si>
  <si>
    <t>străine:</t>
  </si>
  <si>
    <t>TRAFIC MARFA CERNAVODA  2019</t>
  </si>
  <si>
    <t>INCARCARI                 DESCARCARI</t>
  </si>
  <si>
    <t>TRAFIC MARFA OLTENITA 2021- IAN,FEB,MAR,APR,MAI,IUN,IUL,AUG,SEP,OCT,NOE,DEC</t>
  </si>
  <si>
    <t>TRAFIC MARFA DR.TR.SEVERIN 2021-IAN,FEB,MAR,APR,MAI,IUN,IUL,AUG,SEP,OCT,NOE,DEC</t>
  </si>
  <si>
    <t xml:space="preserve"> </t>
  </si>
  <si>
    <t>TRAFIC MARFA CERNAVODA 2021</t>
  </si>
  <si>
    <t>TRAFIC MARFA MOLDOVA VECHE 2021</t>
  </si>
  <si>
    <t>TRAFIC MARFA BECHET 2021</t>
  </si>
  <si>
    <t>TRAFIC MARFA CALAFAT 2021</t>
  </si>
  <si>
    <t>TRAFIC MARFA CORABIA 2021</t>
  </si>
  <si>
    <t>TRAFIC MARFA OLTENITA 2021</t>
  </si>
  <si>
    <t>TRAFIC MARFA CHICIU 2021</t>
  </si>
  <si>
    <t>TRAFIC MARFA CALARASI INDUSTRIAL 2021</t>
  </si>
  <si>
    <t>TRAFIC MARFA CALARASI COMERCIAL 2021</t>
  </si>
  <si>
    <t>TRAFIC MARFA GIURGIU 2021</t>
  </si>
  <si>
    <t>TRAFIC MARFA DR.TR.SEVERIN 2021</t>
  </si>
  <si>
    <t>TRAFIC MARFA ORSOVA 2021</t>
  </si>
  <si>
    <t xml:space="preserve">TRAFIC MARFA TOTAL GENERAL  APDF - 2021 - </t>
  </si>
  <si>
    <t xml:space="preserve">TRAFIC MARFA TRIMESTRUL - I - 2021 - </t>
  </si>
  <si>
    <t xml:space="preserve">TRAFIC MARFA TRIMESTRUL - II - 2021 - </t>
  </si>
  <si>
    <t xml:space="preserve">TRAFIC MARFA TRIMESTRUL - III - 2021 - </t>
  </si>
  <si>
    <t xml:space="preserve">TRAFIC MARFA TRIMESTRUL - IV - 2021 -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</si>
</sst>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name val="Times New Roman"/>
      <charset val="238"/>
    </font>
    <font>
      <b/>
      <sz val="9"/>
      <name val="Arial Narrow"/>
      <family val="2"/>
    </font>
    <font>
      <sz val="9"/>
      <name val="Arial Narrow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 Narrow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0"/>
      <name val="Arial Narrow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9"/>
      <color theme="0"/>
      <name val="Arial Narrow"/>
      <family val="2"/>
    </font>
    <font>
      <b/>
      <sz val="9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protection locked="0"/>
    </xf>
    <xf numFmtId="0" fontId="12" fillId="3" borderId="0" applyNumberFormat="0" applyBorder="0" applyAlignment="0" applyProtection="0"/>
  </cellStyleXfs>
  <cellXfs count="168">
    <xf numFmtId="0" fontId="0" fillId="0" borderId="0" xfId="0"/>
    <xf numFmtId="0" fontId="2" fillId="0" borderId="0" xfId="1" quotePrefix="1" applyFont="1" applyFill="1" applyBorder="1" applyAlignment="1">
      <alignment horizontal="left"/>
      <protection locked="0"/>
    </xf>
    <xf numFmtId="0" fontId="2" fillId="0" borderId="0" xfId="1" applyFont="1" applyFill="1" applyAlignment="1">
      <alignment horizontal="left" vertical="center"/>
      <protection locked="0"/>
    </xf>
    <xf numFmtId="0" fontId="2" fillId="0" borderId="0" xfId="1" applyFont="1" applyAlignment="1">
      <alignment horizontal="left" vertical="center"/>
      <protection locked="0"/>
    </xf>
    <xf numFmtId="0" fontId="3" fillId="0" borderId="0" xfId="1" applyFont="1" applyAlignment="1">
      <alignment horizontal="left" vertical="center"/>
      <protection locked="0"/>
    </xf>
    <xf numFmtId="0" fontId="2" fillId="0" borderId="0" xfId="1" applyFont="1" applyAlignment="1">
      <alignment horizontal="center"/>
      <protection locked="0"/>
    </xf>
    <xf numFmtId="0" fontId="2" fillId="0" borderId="0" xfId="1" applyFont="1" applyFill="1" applyBorder="1" applyAlignment="1">
      <alignment horizontal="left"/>
      <protection locked="0"/>
    </xf>
    <xf numFmtId="0" fontId="2" fillId="0" borderId="0" xfId="1" quotePrefix="1" applyFont="1" applyFill="1" applyAlignment="1">
      <alignment horizontal="left" vertical="center"/>
      <protection locked="0"/>
    </xf>
    <xf numFmtId="0" fontId="2" fillId="0" borderId="0" xfId="1" applyFont="1" applyAlignment="1">
      <alignment horizontal="centerContinuous"/>
      <protection locked="0"/>
    </xf>
    <xf numFmtId="0" fontId="3" fillId="0" borderId="0" xfId="1" applyFont="1">
      <protection locked="0"/>
    </xf>
    <xf numFmtId="0" fontId="2" fillId="0" borderId="5" xfId="1" applyFont="1" applyBorder="1" applyAlignment="1">
      <alignment horizontal="center"/>
      <protection locked="0"/>
    </xf>
    <xf numFmtId="0" fontId="2" fillId="0" borderId="5" xfId="1" applyFont="1" applyBorder="1" applyAlignment="1">
      <alignment horizontal="left" vertical="center"/>
      <protection locked="0"/>
    </xf>
    <xf numFmtId="0" fontId="2" fillId="0" borderId="3" xfId="1" applyFont="1" applyBorder="1" applyAlignment="1">
      <alignment horizontal="centerContinuous" vertical="center"/>
      <protection locked="0"/>
    </xf>
    <xf numFmtId="0" fontId="2" fillId="0" borderId="2" xfId="1" applyFont="1" applyBorder="1" applyAlignment="1">
      <alignment horizontal="centerContinuous" vertical="center"/>
      <protection locked="0"/>
    </xf>
    <xf numFmtId="0" fontId="3" fillId="0" borderId="2" xfId="1" applyFont="1" applyBorder="1" applyAlignment="1">
      <alignment horizontal="centerContinuous" vertical="center"/>
      <protection locked="0"/>
    </xf>
    <xf numFmtId="0" fontId="3" fillId="0" borderId="4" xfId="1" applyFont="1" applyBorder="1" applyAlignment="1">
      <alignment horizontal="centerContinuous" vertical="center"/>
      <protection locked="0"/>
    </xf>
    <xf numFmtId="0" fontId="2" fillId="0" borderId="6" xfId="1" quotePrefix="1" applyFont="1" applyFill="1" applyBorder="1" applyAlignment="1">
      <alignment horizontal="center"/>
      <protection locked="0"/>
    </xf>
    <xf numFmtId="0" fontId="2" fillId="0" borderId="6" xfId="1" quotePrefix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>
      <alignment horizontal="center"/>
      <protection locked="0"/>
    </xf>
    <xf numFmtId="0" fontId="2" fillId="0" borderId="1" xfId="1" quotePrefix="1" applyFont="1" applyBorder="1" applyAlignment="1">
      <alignment horizontal="centerContinuous" vertical="center"/>
      <protection locked="0"/>
    </xf>
    <xf numFmtId="0" fontId="3" fillId="0" borderId="1" xfId="1" applyFont="1" applyBorder="1" applyAlignment="1">
      <alignment horizontal="centerContinuous" vertical="center"/>
      <protection locked="0"/>
    </xf>
    <xf numFmtId="0" fontId="2" fillId="0" borderId="1" xfId="1" applyFont="1" applyBorder="1" applyAlignment="1">
      <alignment horizontal="centerContinuous" vertical="center"/>
      <protection locked="0"/>
    </xf>
    <xf numFmtId="0" fontId="2" fillId="0" borderId="7" xfId="1" applyFont="1" applyBorder="1" applyAlignment="1">
      <alignment horizontal="center"/>
      <protection locked="0"/>
    </xf>
    <xf numFmtId="0" fontId="3" fillId="0" borderId="7" xfId="1" applyFont="1" applyBorder="1">
      <protection locked="0"/>
    </xf>
    <xf numFmtId="0" fontId="2" fillId="0" borderId="1" xfId="1" applyFont="1" applyFill="1" applyBorder="1" applyAlignment="1">
      <alignment horizontal="center"/>
      <protection locked="0"/>
    </xf>
    <xf numFmtId="0" fontId="2" fillId="0" borderId="1" xfId="1" quotePrefix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>
      <protection locked="0"/>
    </xf>
    <xf numFmtId="0" fontId="3" fillId="0" borderId="1" xfId="1" applyFont="1" applyFill="1" applyBorder="1" applyAlignment="1" applyProtection="1">
      <alignment vertical="center" wrapText="1"/>
      <protection locked="0"/>
    </xf>
    <xf numFmtId="0" fontId="3" fillId="0" borderId="1" xfId="1" quotePrefix="1" applyFont="1" applyFill="1" applyBorder="1" applyAlignment="1" applyProtection="1">
      <alignment vertical="center" wrapText="1"/>
      <protection locked="0"/>
    </xf>
    <xf numFmtId="0" fontId="3" fillId="0" borderId="1" xfId="1" quotePrefix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Fill="1" applyBorder="1" applyAlignment="1">
      <alignment horizontal="center"/>
      <protection locked="0"/>
    </xf>
    <xf numFmtId="0" fontId="3" fillId="0" borderId="0" xfId="1" applyFont="1" applyFill="1" applyBorder="1" applyAlignment="1" applyProtection="1">
      <alignment vertical="center" wrapText="1"/>
      <protection locked="0"/>
    </xf>
    <xf numFmtId="0" fontId="2" fillId="0" borderId="0" xfId="1" applyFont="1" applyFill="1" applyBorder="1" applyAlignment="1">
      <protection locked="0"/>
    </xf>
    <xf numFmtId="0" fontId="2" fillId="0" borderId="0" xfId="1" quotePrefix="1" applyFont="1" applyAlignment="1">
      <alignment horizontal="left"/>
      <protection locked="0"/>
    </xf>
    <xf numFmtId="0" fontId="2" fillId="0" borderId="0" xfId="1" applyFont="1" applyAlignment="1">
      <alignment horizontal="right"/>
      <protection locked="0"/>
    </xf>
    <xf numFmtId="0" fontId="2" fillId="0" borderId="0" xfId="1" applyFont="1" applyFill="1">
      <protection locked="0"/>
    </xf>
    <xf numFmtId="0" fontId="2" fillId="0" borderId="0" xfId="1" quotePrefix="1" applyFont="1" applyBorder="1" applyAlignment="1" applyProtection="1">
      <alignment horizontal="right" vertical="center" wrapText="1"/>
      <protection locked="0"/>
    </xf>
    <xf numFmtId="0" fontId="2" fillId="0" borderId="0" xfId="1" applyFont="1" applyFill="1" applyAlignment="1">
      <alignment horizontal="right"/>
      <protection locked="0"/>
    </xf>
    <xf numFmtId="0" fontId="2" fillId="0" borderId="0" xfId="1" applyFont="1">
      <protection locked="0"/>
    </xf>
    <xf numFmtId="0" fontId="2" fillId="2" borderId="0" xfId="1" applyFont="1" applyFill="1">
      <protection locked="0"/>
    </xf>
    <xf numFmtId="0" fontId="4" fillId="0" borderId="0" xfId="0" applyFont="1"/>
    <xf numFmtId="0" fontId="5" fillId="0" borderId="1" xfId="1" applyFont="1" applyFill="1" applyBorder="1" applyAlignment="1"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9" fillId="0" borderId="0" xfId="1" applyFont="1" applyAlignment="1">
      <alignment horizontal="center"/>
      <protection locked="0"/>
    </xf>
    <xf numFmtId="0" fontId="11" fillId="0" borderId="0" xfId="0" applyFont="1" applyAlignment="1">
      <alignment vertical="top"/>
    </xf>
    <xf numFmtId="0" fontId="12" fillId="4" borderId="1" xfId="2" applyFill="1" applyBorder="1" applyAlignment="1" applyProtection="1">
      <protection locked="0"/>
    </xf>
    <xf numFmtId="0" fontId="2" fillId="4" borderId="1" xfId="1" applyFont="1" applyFill="1" applyBorder="1" applyAlignment="1">
      <alignment horizontal="center"/>
      <protection locked="0"/>
    </xf>
    <xf numFmtId="0" fontId="13" fillId="4" borderId="1" xfId="2" applyFont="1" applyFill="1" applyBorder="1" applyAlignment="1" applyProtection="1">
      <alignment vertical="center" wrapText="1"/>
      <protection locked="0"/>
    </xf>
    <xf numFmtId="4" fontId="2" fillId="0" borderId="1" xfId="1" applyNumberFormat="1" applyFont="1" applyFill="1" applyBorder="1" applyAlignment="1">
      <protection locked="0"/>
    </xf>
    <xf numFmtId="4" fontId="3" fillId="0" borderId="7" xfId="1" applyNumberFormat="1" applyFont="1" applyBorder="1">
      <protection locked="0"/>
    </xf>
    <xf numFmtId="4" fontId="2" fillId="0" borderId="1" xfId="1" applyNumberFormat="1" applyFont="1" applyFill="1" applyBorder="1" applyAlignment="1">
      <alignment horizontal="center"/>
      <protection locked="0"/>
    </xf>
    <xf numFmtId="0" fontId="0" fillId="5" borderId="0" xfId="0" applyFill="1"/>
    <xf numFmtId="0" fontId="0" fillId="6" borderId="0" xfId="0" applyFill="1"/>
    <xf numFmtId="0" fontId="2" fillId="4" borderId="1" xfId="1" quotePrefix="1" applyFont="1" applyFill="1" applyBorder="1" applyAlignment="1" applyProtection="1">
      <alignment horizontal="center" vertical="center" wrapText="1"/>
      <protection locked="0"/>
    </xf>
    <xf numFmtId="0" fontId="2" fillId="4" borderId="1" xfId="1" applyFont="1" applyFill="1" applyBorder="1" applyAlignment="1">
      <protection locked="0"/>
    </xf>
    <xf numFmtId="0" fontId="0" fillId="4" borderId="0" xfId="0" applyFill="1"/>
    <xf numFmtId="0" fontId="3" fillId="4" borderId="1" xfId="1" applyFont="1" applyFill="1" applyBorder="1" applyAlignment="1" applyProtection="1">
      <alignment vertical="center" wrapText="1"/>
      <protection locked="0"/>
    </xf>
    <xf numFmtId="0" fontId="3" fillId="4" borderId="1" xfId="1" quotePrefix="1" applyFont="1" applyFill="1" applyBorder="1" applyAlignment="1" applyProtection="1">
      <alignment vertical="center" wrapText="1"/>
      <protection locked="0"/>
    </xf>
    <xf numFmtId="0" fontId="2" fillId="0" borderId="0" xfId="1" quotePrefix="1" applyFont="1" applyFill="1" applyBorder="1" applyAlignment="1">
      <alignment horizontal="left" vertical="top"/>
      <protection locked="0"/>
    </xf>
    <xf numFmtId="0" fontId="2" fillId="0" borderId="0" xfId="1" applyFont="1" applyFill="1" applyAlignment="1">
      <alignment horizontal="left" vertical="top"/>
      <protection locked="0"/>
    </xf>
    <xf numFmtId="0" fontId="2" fillId="0" borderId="0" xfId="1" applyFont="1" applyAlignment="1">
      <alignment horizontal="left" vertical="top"/>
      <protection locked="0"/>
    </xf>
    <xf numFmtId="0" fontId="3" fillId="0" borderId="0" xfId="1" applyFont="1" applyAlignment="1">
      <alignment horizontal="left" vertical="top"/>
      <protection locked="0"/>
    </xf>
    <xf numFmtId="0" fontId="2" fillId="0" borderId="0" xfId="1" applyFont="1" applyFill="1" applyBorder="1" applyAlignment="1">
      <alignment horizontal="left" vertical="top"/>
      <protection locked="0"/>
    </xf>
    <xf numFmtId="0" fontId="2" fillId="0" borderId="0" xfId="1" quotePrefix="1" applyFont="1" applyFill="1" applyAlignment="1">
      <alignment horizontal="left" vertical="top"/>
      <protection locked="0"/>
    </xf>
    <xf numFmtId="0" fontId="2" fillId="0" borderId="0" xfId="1" applyFont="1" applyAlignment="1">
      <alignment horizontal="centerContinuous" vertical="top"/>
      <protection locked="0"/>
    </xf>
    <xf numFmtId="0" fontId="3" fillId="0" borderId="0" xfId="1" applyFont="1" applyAlignment="1">
      <alignment vertical="top"/>
      <protection locked="0"/>
    </xf>
    <xf numFmtId="0" fontId="2" fillId="0" borderId="5" xfId="1" applyFont="1" applyBorder="1" applyAlignment="1">
      <alignment horizontal="center" vertical="top"/>
      <protection locked="0"/>
    </xf>
    <xf numFmtId="0" fontId="2" fillId="0" borderId="5" xfId="1" applyFont="1" applyBorder="1" applyAlignment="1">
      <alignment horizontal="left" vertical="top"/>
      <protection locked="0"/>
    </xf>
    <xf numFmtId="0" fontId="2" fillId="0" borderId="3" xfId="1" applyFont="1" applyBorder="1" applyAlignment="1">
      <alignment horizontal="centerContinuous" vertical="top"/>
      <protection locked="0"/>
    </xf>
    <xf numFmtId="0" fontId="2" fillId="0" borderId="2" xfId="1" applyFont="1" applyBorder="1" applyAlignment="1">
      <alignment horizontal="centerContinuous" vertical="top"/>
      <protection locked="0"/>
    </xf>
    <xf numFmtId="0" fontId="3" fillId="0" borderId="2" xfId="1" applyFont="1" applyBorder="1" applyAlignment="1">
      <alignment horizontal="centerContinuous" vertical="top"/>
      <protection locked="0"/>
    </xf>
    <xf numFmtId="0" fontId="3" fillId="0" borderId="4" xfId="1" applyFont="1" applyBorder="1" applyAlignment="1">
      <alignment horizontal="centerContinuous" vertical="top"/>
      <protection locked="0"/>
    </xf>
    <xf numFmtId="0" fontId="2" fillId="0" borderId="6" xfId="1" quotePrefix="1" applyFont="1" applyFill="1" applyBorder="1" applyAlignment="1">
      <alignment horizontal="center" vertical="top"/>
      <protection locked="0"/>
    </xf>
    <xf numFmtId="0" fontId="2" fillId="0" borderId="6" xfId="1" quotePrefix="1" applyFont="1" applyFill="1" applyBorder="1" applyAlignment="1" applyProtection="1">
      <alignment horizontal="center" vertical="top" wrapText="1"/>
      <protection locked="0"/>
    </xf>
    <xf numFmtId="0" fontId="2" fillId="0" borderId="6" xfId="1" applyFont="1" applyFill="1" applyBorder="1" applyAlignment="1">
      <alignment horizontal="center" vertical="top"/>
      <protection locked="0"/>
    </xf>
    <xf numFmtId="0" fontId="2" fillId="0" borderId="1" xfId="1" quotePrefix="1" applyFont="1" applyBorder="1" applyAlignment="1">
      <alignment horizontal="centerContinuous" vertical="top"/>
      <protection locked="0"/>
    </xf>
    <xf numFmtId="0" fontId="3" fillId="0" borderId="1" xfId="1" applyFont="1" applyBorder="1" applyAlignment="1">
      <alignment horizontal="centerContinuous" vertical="top"/>
      <protection locked="0"/>
    </xf>
    <xf numFmtId="0" fontId="2" fillId="0" borderId="1" xfId="1" applyFont="1" applyBorder="1" applyAlignment="1">
      <alignment horizontal="centerContinuous" vertical="top"/>
      <protection locked="0"/>
    </xf>
    <xf numFmtId="0" fontId="2" fillId="0" borderId="7" xfId="1" applyFont="1" applyBorder="1" applyAlignment="1">
      <alignment horizontal="center" vertical="top"/>
      <protection locked="0"/>
    </xf>
    <xf numFmtId="0" fontId="3" fillId="0" borderId="7" xfId="1" applyFont="1" applyBorder="1" applyAlignment="1">
      <alignment vertical="top"/>
      <protection locked="0"/>
    </xf>
    <xf numFmtId="0" fontId="2" fillId="0" borderId="1" xfId="1" applyFont="1" applyFill="1" applyBorder="1" applyAlignment="1">
      <alignment horizontal="center" vertical="top"/>
      <protection locked="0"/>
    </xf>
    <xf numFmtId="0" fontId="2" fillId="0" borderId="1" xfId="1" quotePrefix="1" applyFont="1" applyFill="1" applyBorder="1" applyAlignment="1" applyProtection="1">
      <alignment horizontal="center" vertical="top" wrapText="1"/>
      <protection locked="0"/>
    </xf>
    <xf numFmtId="0" fontId="3" fillId="0" borderId="1" xfId="1" applyFont="1" applyFill="1" applyBorder="1" applyAlignment="1" applyProtection="1">
      <alignment vertical="top" wrapText="1"/>
      <protection locked="0"/>
    </xf>
    <xf numFmtId="0" fontId="3" fillId="0" borderId="1" xfId="1" quotePrefix="1" applyFont="1" applyFill="1" applyBorder="1" applyAlignment="1" applyProtection="1">
      <alignment vertical="top" wrapText="1"/>
      <protection locked="0"/>
    </xf>
    <xf numFmtId="0" fontId="3" fillId="0" borderId="1" xfId="1" quotePrefix="1" applyFont="1" applyFill="1" applyBorder="1" applyAlignment="1" applyProtection="1">
      <alignment horizontal="left" vertical="top" wrapText="1"/>
      <protection locked="0"/>
    </xf>
    <xf numFmtId="0" fontId="2" fillId="0" borderId="0" xfId="1" applyFont="1" applyFill="1" applyBorder="1" applyAlignment="1">
      <alignment horizontal="center" vertical="top"/>
      <protection locked="0"/>
    </xf>
    <xf numFmtId="0" fontId="2" fillId="0" borderId="0" xfId="1" applyFont="1" applyAlignment="1">
      <alignment horizontal="right" vertical="top"/>
      <protection locked="0"/>
    </xf>
    <xf numFmtId="0" fontId="6" fillId="0" borderId="0" xfId="0" applyFont="1" applyAlignment="1">
      <alignment vertical="top"/>
    </xf>
    <xf numFmtId="0" fontId="2" fillId="0" borderId="0" xfId="1" applyFont="1" applyFill="1" applyBorder="1" applyAlignment="1">
      <alignment vertical="top"/>
      <protection locked="0"/>
    </xf>
    <xf numFmtId="0" fontId="2" fillId="2" borderId="0" xfId="1" applyFont="1" applyFill="1" applyBorder="1">
      <protection locked="0"/>
    </xf>
    <xf numFmtId="0" fontId="14" fillId="0" borderId="0" xfId="1" applyFont="1" applyAlignment="1">
      <alignment horizontal="right"/>
      <protection locked="0"/>
    </xf>
    <xf numFmtId="0" fontId="14" fillId="0" borderId="0" xfId="1" applyFont="1" applyFill="1">
      <protection locked="0"/>
    </xf>
    <xf numFmtId="0" fontId="14" fillId="0" borderId="0" xfId="1" applyFont="1" applyFill="1" applyBorder="1" applyAlignment="1">
      <protection locked="0"/>
    </xf>
    <xf numFmtId="0" fontId="14" fillId="0" borderId="0" xfId="1" quotePrefix="1" applyFont="1" applyBorder="1" applyAlignment="1" applyProtection="1">
      <alignment horizontal="right" vertical="center" wrapText="1"/>
      <protection locked="0"/>
    </xf>
    <xf numFmtId="0" fontId="14" fillId="0" borderId="0" xfId="1" applyFont="1" applyFill="1" applyAlignment="1">
      <alignment horizontal="right"/>
      <protection locked="0"/>
    </xf>
    <xf numFmtId="0" fontId="14" fillId="2" borderId="0" xfId="1" applyFont="1" applyFill="1">
      <protection locked="0"/>
    </xf>
    <xf numFmtId="0" fontId="14" fillId="0" borderId="0" xfId="1" applyFont="1">
      <protection locked="0"/>
    </xf>
    <xf numFmtId="0" fontId="11" fillId="0" borderId="0" xfId="0" applyFont="1"/>
    <xf numFmtId="0" fontId="14" fillId="0" borderId="0" xfId="1" quotePrefix="1" applyFont="1" applyFill="1" applyBorder="1" applyAlignment="1">
      <alignment horizontal="left"/>
      <protection locked="0"/>
    </xf>
    <xf numFmtId="0" fontId="14" fillId="0" borderId="0" xfId="1" applyFont="1" applyFill="1" applyAlignment="1">
      <alignment horizontal="left" vertical="center"/>
      <protection locked="0"/>
    </xf>
    <xf numFmtId="0" fontId="14" fillId="0" borderId="0" xfId="1" applyFont="1" applyAlignment="1">
      <alignment horizontal="left" vertical="center"/>
      <protection locked="0"/>
    </xf>
    <xf numFmtId="0" fontId="15" fillId="0" borderId="0" xfId="1" applyFont="1" applyAlignment="1">
      <alignment horizontal="left" vertical="center"/>
      <protection locked="0"/>
    </xf>
    <xf numFmtId="0" fontId="14" fillId="0" borderId="0" xfId="1" applyFont="1" applyAlignment="1">
      <alignment horizontal="center"/>
      <protection locked="0"/>
    </xf>
    <xf numFmtId="0" fontId="14" fillId="0" borderId="0" xfId="1" applyFont="1" applyFill="1" applyBorder="1" applyAlignment="1">
      <alignment horizontal="left"/>
      <protection locked="0"/>
    </xf>
    <xf numFmtId="0" fontId="16" fillId="0" borderId="0" xfId="1" applyFont="1" applyAlignment="1">
      <alignment horizontal="left" vertical="center"/>
      <protection locked="0"/>
    </xf>
    <xf numFmtId="0" fontId="14" fillId="0" borderId="0" xfId="1" applyFont="1" applyAlignment="1">
      <alignment horizontal="centerContinuous"/>
      <protection locked="0"/>
    </xf>
    <xf numFmtId="0" fontId="14" fillId="0" borderId="5" xfId="1" applyFont="1" applyBorder="1" applyAlignment="1">
      <alignment horizontal="center"/>
      <protection locked="0"/>
    </xf>
    <xf numFmtId="0" fontId="14" fillId="0" borderId="5" xfId="1" applyFont="1" applyBorder="1" applyAlignment="1">
      <alignment horizontal="left" vertical="center"/>
      <protection locked="0"/>
    </xf>
    <xf numFmtId="0" fontId="14" fillId="0" borderId="3" xfId="1" applyFont="1" applyBorder="1" applyAlignment="1">
      <alignment horizontal="centerContinuous" vertical="center"/>
      <protection locked="0"/>
    </xf>
    <xf numFmtId="0" fontId="14" fillId="0" borderId="2" xfId="1" applyFont="1" applyBorder="1" applyAlignment="1">
      <alignment horizontal="centerContinuous" vertical="center"/>
      <protection locked="0"/>
    </xf>
    <xf numFmtId="0" fontId="15" fillId="0" borderId="2" xfId="1" applyFont="1" applyBorder="1" applyAlignment="1">
      <alignment horizontal="centerContinuous" vertical="center"/>
      <protection locked="0"/>
    </xf>
    <xf numFmtId="0" fontId="15" fillId="0" borderId="2" xfId="1" applyFont="1" applyBorder="1">
      <protection locked="0"/>
    </xf>
    <xf numFmtId="0" fontId="15" fillId="0" borderId="4" xfId="1" applyFont="1" applyBorder="1">
      <protection locked="0"/>
    </xf>
    <xf numFmtId="0" fontId="14" fillId="0" borderId="1" xfId="1" applyFont="1" applyFill="1" applyBorder="1" applyAlignment="1">
      <alignment horizontal="center"/>
      <protection locked="0"/>
    </xf>
    <xf numFmtId="0" fontId="14" fillId="0" borderId="1" xfId="1" applyFont="1" applyFill="1" applyBorder="1" applyAlignment="1">
      <protection locked="0"/>
    </xf>
    <xf numFmtId="0" fontId="15" fillId="0" borderId="1" xfId="1" applyFont="1" applyFill="1" applyBorder="1" applyAlignment="1" applyProtection="1">
      <alignment vertical="center" wrapText="1"/>
      <protection locked="0"/>
    </xf>
    <xf numFmtId="0" fontId="15" fillId="0" borderId="1" xfId="1" quotePrefix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/>
    <xf numFmtId="0" fontId="14" fillId="0" borderId="0" xfId="1" applyFont="1" applyFill="1" applyBorder="1" applyAlignment="1">
      <alignment horizontal="center"/>
      <protection locked="0"/>
    </xf>
    <xf numFmtId="0" fontId="14" fillId="0" borderId="0" xfId="1" quotePrefix="1" applyFont="1" applyAlignment="1">
      <alignment horizontal="left"/>
      <protection locked="0"/>
    </xf>
    <xf numFmtId="0" fontId="2" fillId="4" borderId="1" xfId="1" applyFont="1" applyFill="1" applyBorder="1" applyAlignment="1">
      <alignment vertical="top"/>
      <protection locked="0"/>
    </xf>
    <xf numFmtId="0" fontId="7" fillId="4" borderId="0" xfId="0" applyFont="1" applyFill="1"/>
    <xf numFmtId="0" fontId="14" fillId="4" borderId="6" xfId="1" quotePrefix="1" applyFont="1" applyFill="1" applyBorder="1" applyAlignment="1">
      <alignment horizontal="center"/>
      <protection locked="0"/>
    </xf>
    <xf numFmtId="0" fontId="14" fillId="4" borderId="6" xfId="1" quotePrefix="1" applyFont="1" applyFill="1" applyBorder="1" applyAlignment="1" applyProtection="1">
      <alignment horizontal="center" vertical="center" wrapText="1"/>
      <protection locked="0"/>
    </xf>
    <xf numFmtId="0" fontId="14" fillId="4" borderId="6" xfId="1" applyFont="1" applyFill="1" applyBorder="1" applyAlignment="1">
      <alignment horizontal="center"/>
      <protection locked="0"/>
    </xf>
    <xf numFmtId="0" fontId="14" fillId="4" borderId="1" xfId="1" quotePrefix="1" applyFont="1" applyFill="1" applyBorder="1" applyAlignment="1">
      <alignment horizontal="centerContinuous" vertical="center"/>
      <protection locked="0"/>
    </xf>
    <xf numFmtId="0" fontId="15" fillId="4" borderId="1" xfId="1" applyFont="1" applyFill="1" applyBorder="1" applyAlignment="1">
      <alignment horizontal="centerContinuous" vertical="center"/>
      <protection locked="0"/>
    </xf>
    <xf numFmtId="0" fontId="14" fillId="4" borderId="2" xfId="1" applyFont="1" applyFill="1" applyBorder="1" applyAlignment="1">
      <alignment horizontal="centerContinuous" vertical="center"/>
      <protection locked="0"/>
    </xf>
    <xf numFmtId="0" fontId="15" fillId="4" borderId="4" xfId="1" applyFont="1" applyFill="1" applyBorder="1" applyAlignment="1">
      <alignment horizontal="centerContinuous" vertical="center"/>
      <protection locked="0"/>
    </xf>
    <xf numFmtId="0" fontId="14" fillId="4" borderId="7" xfId="1" applyFont="1" applyFill="1" applyBorder="1" applyAlignment="1">
      <alignment horizontal="center"/>
      <protection locked="0"/>
    </xf>
    <xf numFmtId="0" fontId="15" fillId="4" borderId="7" xfId="1" applyFont="1" applyFill="1" applyBorder="1">
      <protection locked="0"/>
    </xf>
    <xf numFmtId="0" fontId="14" fillId="4" borderId="1" xfId="1" applyFont="1" applyFill="1" applyBorder="1" applyAlignment="1">
      <alignment horizontal="center"/>
      <protection locked="0"/>
    </xf>
    <xf numFmtId="0" fontId="14" fillId="4" borderId="1" xfId="1" quotePrefix="1" applyFont="1" applyFill="1" applyBorder="1" applyAlignment="1" applyProtection="1">
      <alignment horizontal="center" vertical="center" wrapText="1"/>
      <protection locked="0"/>
    </xf>
    <xf numFmtId="0" fontId="14" fillId="4" borderId="1" xfId="1" applyFont="1" applyFill="1" applyBorder="1" applyAlignment="1">
      <protection locked="0"/>
    </xf>
    <xf numFmtId="0" fontId="15" fillId="4" borderId="1" xfId="1" applyFont="1" applyFill="1" applyBorder="1" applyAlignment="1" applyProtection="1">
      <alignment vertical="center" wrapText="1"/>
      <protection locked="0"/>
    </xf>
    <xf numFmtId="0" fontId="15" fillId="4" borderId="1" xfId="1" quotePrefix="1" applyFont="1" applyFill="1" applyBorder="1" applyAlignment="1" applyProtection="1">
      <alignment vertical="center" wrapText="1"/>
      <protection locked="0"/>
    </xf>
    <xf numFmtId="0" fontId="15" fillId="4" borderId="1" xfId="1" quotePrefix="1" applyFont="1" applyFill="1" applyBorder="1" applyAlignment="1" applyProtection="1">
      <alignment horizontal="left" vertical="center" wrapText="1"/>
      <protection locked="0"/>
    </xf>
    <xf numFmtId="0" fontId="15" fillId="0" borderId="0" xfId="1" applyFont="1" applyFill="1" applyBorder="1" applyAlignment="1" applyProtection="1">
      <alignment vertical="center" wrapText="1"/>
      <protection locked="0"/>
    </xf>
    <xf numFmtId="0" fontId="11" fillId="0" borderId="0" xfId="0" applyFont="1" applyBorder="1"/>
    <xf numFmtId="3" fontId="2" fillId="0" borderId="1" xfId="1" applyNumberFormat="1" applyFont="1" applyFill="1" applyBorder="1" applyAlignment="1">
      <protection locked="0"/>
    </xf>
    <xf numFmtId="0" fontId="15" fillId="0" borderId="2" xfId="1" applyFont="1" applyFill="1" applyBorder="1">
      <protection locked="0"/>
    </xf>
    <xf numFmtId="0" fontId="14" fillId="0" borderId="2" xfId="1" applyFont="1" applyFill="1" applyBorder="1" applyAlignment="1">
      <alignment horizontal="centerContinuous" vertical="center"/>
      <protection locked="0"/>
    </xf>
    <xf numFmtId="0" fontId="13" fillId="0" borderId="0" xfId="0" applyFont="1" applyFill="1"/>
    <xf numFmtId="0" fontId="17" fillId="0" borderId="0" xfId="1" applyFont="1" applyAlignment="1">
      <alignment horizontal="left" vertical="center"/>
      <protection locked="0"/>
    </xf>
    <xf numFmtId="0" fontId="2" fillId="0" borderId="0" xfId="1" applyFont="1" applyAlignment="1">
      <alignment horizontal="left"/>
      <protection locked="0"/>
    </xf>
    <xf numFmtId="0" fontId="18" fillId="4" borderId="0" xfId="1" applyFont="1" applyFill="1" applyAlignment="1">
      <alignment horizontal="centerContinuous"/>
      <protection locked="0"/>
    </xf>
    <xf numFmtId="0" fontId="18" fillId="0" borderId="0" xfId="1" applyFont="1" applyAlignment="1">
      <alignment horizontal="centerContinuous"/>
      <protection locked="0"/>
    </xf>
    <xf numFmtId="0" fontId="2" fillId="0" borderId="6" xfId="1" quotePrefix="1" applyFont="1" applyBorder="1" applyAlignment="1">
      <alignment horizontal="center"/>
      <protection locked="0"/>
    </xf>
    <xf numFmtId="0" fontId="2" fillId="0" borderId="6" xfId="1" quotePrefix="1" applyFont="1" applyBorder="1" applyAlignment="1">
      <alignment horizontal="center" vertical="center" wrapText="1"/>
      <protection locked="0"/>
    </xf>
    <xf numFmtId="0" fontId="2" fillId="0" borderId="6" xfId="1" applyFont="1" applyBorder="1" applyAlignment="1">
      <alignment horizontal="center"/>
      <protection locked="0"/>
    </xf>
    <xf numFmtId="0" fontId="2" fillId="0" borderId="5" xfId="1" quotePrefix="1" applyFont="1" applyBorder="1" applyAlignment="1">
      <alignment horizontal="centerContinuous" vertical="center"/>
      <protection locked="0"/>
    </xf>
    <xf numFmtId="0" fontId="3" fillId="0" borderId="5" xfId="1" applyFont="1" applyBorder="1" applyAlignment="1">
      <alignment horizontal="centerContinuous" vertical="center"/>
      <protection locked="0"/>
    </xf>
    <xf numFmtId="0" fontId="2" fillId="0" borderId="5" xfId="1" applyFont="1" applyBorder="1" applyAlignment="1">
      <alignment horizontal="centerContinuous" vertical="center"/>
      <protection locked="0"/>
    </xf>
    <xf numFmtId="0" fontId="2" fillId="0" borderId="1" xfId="1" applyFont="1" applyBorder="1" applyAlignment="1">
      <alignment horizontal="center"/>
      <protection locked="0"/>
    </xf>
    <xf numFmtId="0" fontId="3" fillId="0" borderId="1" xfId="1" applyFont="1" applyBorder="1">
      <protection locked="0"/>
    </xf>
    <xf numFmtId="0" fontId="2" fillId="0" borderId="1" xfId="1" quotePrefix="1" applyFont="1" applyBorder="1" applyAlignment="1">
      <alignment horizontal="center" vertical="center" wrapText="1"/>
      <protection locked="0"/>
    </xf>
    <xf numFmtId="0" fontId="2" fillId="0" borderId="1" xfId="1" applyFont="1" applyBorder="1">
      <protection locked="0"/>
    </xf>
    <xf numFmtId="0" fontId="2" fillId="0" borderId="1" xfId="1" quotePrefix="1" applyFont="1" applyBorder="1">
      <protection locked="0"/>
    </xf>
    <xf numFmtId="0" fontId="3" fillId="0" borderId="1" xfId="1" applyFont="1" applyBorder="1" applyAlignment="1">
      <alignment vertical="center" wrapText="1"/>
      <protection locked="0"/>
    </xf>
    <xf numFmtId="0" fontId="3" fillId="0" borderId="1" xfId="1" quotePrefix="1" applyFont="1" applyBorder="1" applyAlignment="1">
      <alignment vertical="center" wrapText="1"/>
      <protection locked="0"/>
    </xf>
    <xf numFmtId="0" fontId="3" fillId="0" borderId="1" xfId="1" quotePrefix="1" applyFont="1" applyBorder="1" applyAlignment="1">
      <alignment horizontal="left" vertical="center" wrapText="1"/>
      <protection locked="0"/>
    </xf>
    <xf numFmtId="0" fontId="2" fillId="0" borderId="0" xfId="1" quotePrefix="1" applyFont="1" applyAlignment="1">
      <alignment horizontal="right" vertical="center" wrapText="1"/>
      <protection locked="0"/>
    </xf>
    <xf numFmtId="0" fontId="2" fillId="0" borderId="0" xfId="1" applyFont="1" applyBorder="1" applyAlignment="1">
      <alignment horizontal="center"/>
      <protection locked="0"/>
    </xf>
    <xf numFmtId="0" fontId="3" fillId="0" borderId="0" xfId="1" applyFont="1" applyBorder="1" applyAlignment="1">
      <alignment vertical="center" wrapText="1"/>
      <protection locked="0"/>
    </xf>
    <xf numFmtId="0" fontId="2" fillId="0" borderId="0" xfId="1" applyFont="1" applyBorder="1">
      <protection locked="0"/>
    </xf>
  </cellXfs>
  <cellStyles count="3">
    <cellStyle name="Neutral" xfId="2" builtinId="2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3:I52"/>
  <sheetViews>
    <sheetView topLeftCell="A13" workbookViewId="0">
      <selection activeCell="B13" sqref="B1:B1048576"/>
    </sheetView>
  </sheetViews>
  <sheetFormatPr defaultRowHeight="15" x14ac:dyDescent="0.25"/>
  <cols>
    <col min="2" max="2" width="25.85546875" customWidth="1"/>
  </cols>
  <sheetData>
    <row r="13" spans="1:9" x14ac:dyDescent="0.25">
      <c r="A13" s="1" t="s">
        <v>0</v>
      </c>
      <c r="B13" s="2"/>
      <c r="C13" s="3"/>
      <c r="D13" s="3"/>
      <c r="E13" s="3"/>
      <c r="F13" s="4"/>
      <c r="G13" s="3"/>
      <c r="H13" s="3"/>
      <c r="I13" s="4"/>
    </row>
    <row r="14" spans="1:9" x14ac:dyDescent="0.25">
      <c r="A14" s="5"/>
      <c r="B14" s="6" t="s">
        <v>68</v>
      </c>
      <c r="C14" s="3"/>
      <c r="D14" s="3"/>
      <c r="E14" s="3"/>
      <c r="F14" s="4"/>
      <c r="G14" s="3"/>
      <c r="H14" s="3"/>
      <c r="I14" s="4"/>
    </row>
    <row r="15" spans="1:9" x14ac:dyDescent="0.25">
      <c r="A15" s="7"/>
      <c r="B15" s="2"/>
      <c r="C15" s="3"/>
      <c r="D15" s="3"/>
      <c r="E15" s="3"/>
      <c r="F15" s="4"/>
      <c r="G15" s="3"/>
      <c r="H15" s="3"/>
      <c r="I15" s="4"/>
    </row>
    <row r="16" spans="1:9" x14ac:dyDescent="0.25">
      <c r="A16" s="8" t="s">
        <v>1</v>
      </c>
      <c r="B16" s="8"/>
      <c r="C16" s="8"/>
      <c r="D16" s="8"/>
      <c r="E16" s="8"/>
      <c r="F16" s="8"/>
      <c r="G16" s="8"/>
      <c r="H16" s="8"/>
      <c r="I16" s="8"/>
    </row>
    <row r="17" spans="1:9" x14ac:dyDescent="0.25">
      <c r="A17" s="9"/>
      <c r="B17" s="9"/>
      <c r="C17" s="9"/>
      <c r="D17" s="9"/>
      <c r="E17" s="9"/>
      <c r="F17" s="9"/>
      <c r="G17" s="9"/>
      <c r="H17" s="9"/>
      <c r="I17" s="9"/>
    </row>
    <row r="18" spans="1:9" x14ac:dyDescent="0.25">
      <c r="A18" s="10" t="s">
        <v>2</v>
      </c>
      <c r="B18" s="11"/>
      <c r="C18" s="11"/>
      <c r="D18" s="12" t="s">
        <v>3</v>
      </c>
      <c r="E18" s="13"/>
      <c r="F18" s="14"/>
      <c r="G18" s="13"/>
      <c r="H18" s="13"/>
      <c r="I18" s="15"/>
    </row>
    <row r="19" spans="1:9" x14ac:dyDescent="0.25">
      <c r="A19" s="16" t="s">
        <v>4</v>
      </c>
      <c r="B19" s="17" t="s">
        <v>5</v>
      </c>
      <c r="C19" s="18" t="s">
        <v>6</v>
      </c>
      <c r="D19" s="19" t="s">
        <v>7</v>
      </c>
      <c r="E19" s="20"/>
      <c r="F19" s="20"/>
      <c r="G19" s="21" t="s">
        <v>8</v>
      </c>
      <c r="H19" s="20"/>
      <c r="I19" s="20"/>
    </row>
    <row r="20" spans="1:9" x14ac:dyDescent="0.25">
      <c r="A20" s="22" t="s">
        <v>9</v>
      </c>
      <c r="B20" s="23"/>
      <c r="C20" s="23"/>
      <c r="D20" s="24" t="s">
        <v>10</v>
      </c>
      <c r="E20" s="24" t="s">
        <v>11</v>
      </c>
      <c r="F20" s="24" t="s">
        <v>12</v>
      </c>
      <c r="G20" s="24" t="s">
        <v>13</v>
      </c>
      <c r="H20" s="24" t="s">
        <v>11</v>
      </c>
      <c r="I20" s="24" t="s">
        <v>12</v>
      </c>
    </row>
    <row r="21" spans="1:9" x14ac:dyDescent="0.25">
      <c r="A21" s="24">
        <v>0</v>
      </c>
      <c r="B21" s="25" t="s">
        <v>14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24" t="s">
        <v>15</v>
      </c>
      <c r="B22" s="27" t="s">
        <v>16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4" t="s">
        <v>17</v>
      </c>
      <c r="B23" s="28" t="s">
        <v>18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4" t="s">
        <v>19</v>
      </c>
      <c r="B24" s="27" t="s">
        <v>20</v>
      </c>
      <c r="C24" s="26"/>
      <c r="D24" s="26"/>
      <c r="E24" s="26"/>
      <c r="F24" s="26"/>
      <c r="G24" s="26"/>
      <c r="H24" s="26"/>
      <c r="I24" s="26"/>
    </row>
    <row r="25" spans="1:9" ht="27" x14ac:dyDescent="0.25">
      <c r="A25" s="24" t="s">
        <v>21</v>
      </c>
      <c r="B25" s="29" t="s">
        <v>22</v>
      </c>
      <c r="C25" s="26"/>
      <c r="D25" s="26"/>
      <c r="E25" s="26"/>
      <c r="F25" s="26"/>
      <c r="G25" s="26"/>
      <c r="H25" s="26"/>
      <c r="I25" s="26"/>
    </row>
    <row r="26" spans="1:9" ht="27" x14ac:dyDescent="0.25">
      <c r="A26" s="24" t="s">
        <v>23</v>
      </c>
      <c r="B26" s="27" t="s">
        <v>24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24" t="s">
        <v>25</v>
      </c>
      <c r="B27" s="27" t="s">
        <v>26</v>
      </c>
      <c r="C27" s="26"/>
      <c r="D27" s="26"/>
      <c r="E27" s="26"/>
      <c r="F27" s="26"/>
      <c r="G27" s="26"/>
      <c r="H27" s="26"/>
      <c r="I27" s="26"/>
    </row>
    <row r="28" spans="1:9" x14ac:dyDescent="0.25">
      <c r="A28" s="24" t="s">
        <v>27</v>
      </c>
      <c r="B28" s="29" t="s">
        <v>28</v>
      </c>
      <c r="C28" s="26"/>
      <c r="D28" s="26"/>
      <c r="E28" s="26"/>
      <c r="F28" s="26"/>
      <c r="G28" s="26"/>
      <c r="H28" s="26"/>
      <c r="I28" s="26"/>
    </row>
    <row r="29" spans="1:9" ht="40.5" x14ac:dyDescent="0.25">
      <c r="A29" s="24" t="s">
        <v>29</v>
      </c>
      <c r="B29" s="27" t="s">
        <v>30</v>
      </c>
      <c r="C29" s="26"/>
      <c r="D29" s="26"/>
      <c r="E29" s="26"/>
      <c r="F29" s="26"/>
      <c r="G29" s="26"/>
      <c r="H29" s="26"/>
      <c r="I29" s="26"/>
    </row>
    <row r="30" spans="1:9" x14ac:dyDescent="0.25">
      <c r="A30" s="24" t="s">
        <v>31</v>
      </c>
      <c r="B30" s="27" t="s">
        <v>32</v>
      </c>
      <c r="C30" s="26"/>
      <c r="D30" s="26"/>
      <c r="E30" s="26"/>
      <c r="F30" s="26"/>
      <c r="G30" s="26"/>
      <c r="H30" s="26"/>
      <c r="I30" s="26"/>
    </row>
    <row r="31" spans="1:9" x14ac:dyDescent="0.25">
      <c r="A31" s="24" t="s">
        <v>33</v>
      </c>
      <c r="B31" s="27" t="s">
        <v>34</v>
      </c>
      <c r="C31" s="26"/>
      <c r="D31" s="26"/>
      <c r="E31" s="26"/>
      <c r="F31" s="26"/>
      <c r="G31" s="26"/>
      <c r="H31" s="26"/>
      <c r="I31" s="26"/>
    </row>
    <row r="32" spans="1:9" ht="40.5" x14ac:dyDescent="0.25">
      <c r="A32" s="24" t="s">
        <v>35</v>
      </c>
      <c r="B32" s="29" t="s">
        <v>36</v>
      </c>
      <c r="C32" s="26"/>
      <c r="D32" s="26"/>
      <c r="E32" s="26"/>
      <c r="F32" s="26"/>
      <c r="G32" s="26"/>
      <c r="H32" s="26"/>
      <c r="I32" s="26"/>
    </row>
    <row r="33" spans="1:9" x14ac:dyDescent="0.25">
      <c r="A33" s="24" t="s">
        <v>37</v>
      </c>
      <c r="B33" s="27" t="s">
        <v>38</v>
      </c>
      <c r="C33" s="26"/>
      <c r="D33" s="26"/>
      <c r="E33" s="26"/>
      <c r="F33" s="26"/>
      <c r="G33" s="26"/>
      <c r="H33" s="26"/>
      <c r="I33" s="26"/>
    </row>
    <row r="34" spans="1:9" x14ac:dyDescent="0.25">
      <c r="A34" s="24" t="s">
        <v>39</v>
      </c>
      <c r="B34" s="27" t="s">
        <v>40</v>
      </c>
      <c r="C34" s="26"/>
      <c r="D34" s="26"/>
      <c r="E34" s="26"/>
      <c r="F34" s="26"/>
      <c r="G34" s="26"/>
      <c r="H34" s="26"/>
      <c r="I34" s="26"/>
    </row>
    <row r="35" spans="1:9" x14ac:dyDescent="0.25">
      <c r="A35" s="24" t="s">
        <v>41</v>
      </c>
      <c r="B35" s="27" t="s">
        <v>42</v>
      </c>
      <c r="C35" s="26"/>
      <c r="D35" s="26"/>
      <c r="E35" s="26"/>
      <c r="F35" s="26"/>
      <c r="G35" s="26"/>
      <c r="H35" s="26"/>
      <c r="I35" s="26"/>
    </row>
    <row r="36" spans="1:9" x14ac:dyDescent="0.25">
      <c r="A36" s="24" t="s">
        <v>43</v>
      </c>
      <c r="B36" s="27" t="s">
        <v>44</v>
      </c>
      <c r="C36" s="26"/>
      <c r="D36" s="26"/>
      <c r="E36" s="26"/>
      <c r="F36" s="26"/>
      <c r="G36" s="26"/>
      <c r="H36" s="26"/>
      <c r="I36" s="26"/>
    </row>
    <row r="37" spans="1:9" ht="27" x14ac:dyDescent="0.25">
      <c r="A37" s="24" t="s">
        <v>45</v>
      </c>
      <c r="B37" s="27" t="s">
        <v>46</v>
      </c>
      <c r="C37" s="26"/>
      <c r="D37" s="26"/>
      <c r="E37" s="26"/>
      <c r="F37" s="26"/>
      <c r="G37" s="26"/>
      <c r="H37" s="26"/>
      <c r="I37" s="26"/>
    </row>
    <row r="38" spans="1:9" x14ac:dyDescent="0.25">
      <c r="A38" s="24" t="s">
        <v>47</v>
      </c>
      <c r="B38" s="27" t="s">
        <v>48</v>
      </c>
      <c r="C38" s="26"/>
      <c r="D38" s="26"/>
      <c r="E38" s="26"/>
      <c r="F38" s="26"/>
      <c r="G38" s="26"/>
      <c r="H38" s="26"/>
      <c r="I38" s="26"/>
    </row>
    <row r="39" spans="1:9" ht="27" x14ac:dyDescent="0.25">
      <c r="A39" s="24" t="s">
        <v>49</v>
      </c>
      <c r="B39" s="27" t="s">
        <v>50</v>
      </c>
      <c r="C39" s="26"/>
      <c r="D39" s="26"/>
      <c r="E39" s="26"/>
      <c r="F39" s="26"/>
      <c r="G39" s="26"/>
      <c r="H39" s="26"/>
      <c r="I39" s="26"/>
    </row>
    <row r="40" spans="1:9" x14ac:dyDescent="0.25">
      <c r="A40" s="24" t="s">
        <v>51</v>
      </c>
      <c r="B40" s="27" t="s">
        <v>52</v>
      </c>
      <c r="C40" s="26"/>
      <c r="D40" s="26"/>
      <c r="E40" s="26"/>
      <c r="F40" s="26"/>
      <c r="G40" s="26"/>
      <c r="H40" s="26"/>
      <c r="I40" s="26"/>
    </row>
    <row r="41" spans="1:9" x14ac:dyDescent="0.25">
      <c r="A41" s="24" t="s">
        <v>53</v>
      </c>
      <c r="B41" s="27" t="s">
        <v>54</v>
      </c>
      <c r="C41" s="26"/>
      <c r="D41" s="26"/>
      <c r="E41" s="26"/>
      <c r="F41" s="26"/>
      <c r="G41" s="26"/>
      <c r="H41" s="26"/>
      <c r="I41" s="26"/>
    </row>
    <row r="42" spans="1:9" x14ac:dyDescent="0.25">
      <c r="A42" s="24" t="s">
        <v>55</v>
      </c>
      <c r="B42" s="27" t="s">
        <v>56</v>
      </c>
      <c r="C42" s="26"/>
      <c r="D42" s="26"/>
      <c r="E42" s="26"/>
      <c r="F42" s="26"/>
      <c r="G42" s="26"/>
      <c r="H42" s="26"/>
      <c r="I42" s="26"/>
    </row>
    <row r="43" spans="1:9" x14ac:dyDescent="0.25">
      <c r="A43" s="24" t="s">
        <v>57</v>
      </c>
      <c r="B43" s="27" t="s">
        <v>58</v>
      </c>
      <c r="C43" s="26"/>
      <c r="D43" s="26"/>
      <c r="E43" s="26"/>
      <c r="F43" s="26"/>
      <c r="G43" s="26"/>
      <c r="H43" s="26"/>
      <c r="I43" s="26"/>
    </row>
    <row r="44" spans="1:9" ht="27" x14ac:dyDescent="0.25">
      <c r="A44" s="24" t="s">
        <v>59</v>
      </c>
      <c r="B44" s="29" t="s">
        <v>60</v>
      </c>
      <c r="C44" s="26"/>
      <c r="D44" s="26"/>
      <c r="E44" s="26"/>
      <c r="F44" s="26"/>
      <c r="G44" s="26"/>
      <c r="H44" s="26"/>
      <c r="I44" s="26"/>
    </row>
    <row r="45" spans="1:9" x14ac:dyDescent="0.25">
      <c r="A45" s="24" t="s">
        <v>61</v>
      </c>
      <c r="B45" s="27" t="s">
        <v>62</v>
      </c>
      <c r="C45" s="26"/>
      <c r="D45" s="26"/>
      <c r="E45" s="26"/>
      <c r="F45" s="26"/>
      <c r="G45" s="26"/>
      <c r="H45" s="26"/>
      <c r="I45" s="26"/>
    </row>
    <row r="46" spans="1:9" x14ac:dyDescent="0.25">
      <c r="A46" s="24" t="s">
        <v>63</v>
      </c>
      <c r="B46" s="27" t="s">
        <v>64</v>
      </c>
      <c r="C46" s="26"/>
      <c r="D46" s="26"/>
      <c r="E46" s="26"/>
      <c r="F46" s="26"/>
      <c r="G46" s="26"/>
      <c r="H46" s="26"/>
      <c r="I46" s="26"/>
    </row>
    <row r="47" spans="1:9" x14ac:dyDescent="0.25">
      <c r="A47" s="30"/>
      <c r="B47" s="31"/>
      <c r="C47" s="32"/>
      <c r="D47" s="32"/>
      <c r="E47" s="32"/>
      <c r="F47" s="32"/>
      <c r="G47" s="32"/>
      <c r="H47" s="32"/>
      <c r="I47" s="32"/>
    </row>
    <row r="48" spans="1:9" x14ac:dyDescent="0.25">
      <c r="A48" s="30"/>
      <c r="B48" s="31"/>
      <c r="C48" s="32"/>
      <c r="D48" s="32"/>
      <c r="E48" s="32"/>
      <c r="F48" s="32"/>
      <c r="G48" s="32"/>
      <c r="H48" s="32"/>
      <c r="I48" s="32"/>
    </row>
    <row r="49" spans="1:9" x14ac:dyDescent="0.25">
      <c r="A49" s="33" t="s">
        <v>4</v>
      </c>
      <c r="B49" s="34" t="s">
        <v>65</v>
      </c>
      <c r="C49" s="35"/>
      <c r="D49" s="35"/>
      <c r="E49" s="35"/>
      <c r="F49" s="35"/>
      <c r="G49" s="35"/>
      <c r="H49" s="35"/>
      <c r="I49" s="35"/>
    </row>
    <row r="50" spans="1:9" x14ac:dyDescent="0.25">
      <c r="A50" s="5"/>
      <c r="B50" s="36" t="s">
        <v>3</v>
      </c>
      <c r="C50" s="37"/>
      <c r="D50" s="38"/>
      <c r="E50" s="38"/>
      <c r="F50" s="38"/>
      <c r="G50" s="38"/>
      <c r="H50" s="38"/>
      <c r="I50" s="38"/>
    </row>
    <row r="51" spans="1:9" x14ac:dyDescent="0.25">
      <c r="A51" s="5"/>
      <c r="B51" s="36" t="s">
        <v>66</v>
      </c>
      <c r="C51" s="39"/>
      <c r="D51" s="38"/>
      <c r="E51" s="38"/>
      <c r="F51" s="38"/>
      <c r="G51" s="38"/>
      <c r="H51" s="38"/>
      <c r="I51" s="38"/>
    </row>
    <row r="52" spans="1:9" x14ac:dyDescent="0.25">
      <c r="A52" s="5"/>
      <c r="B52" s="36" t="s">
        <v>67</v>
      </c>
      <c r="C52" s="39"/>
      <c r="D52" s="38"/>
      <c r="E52" s="38"/>
      <c r="F52" s="38"/>
      <c r="G52" s="38"/>
      <c r="H52" s="38"/>
      <c r="I52" s="3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7"/>
  <sheetViews>
    <sheetView topLeftCell="A19" zoomScale="120" zoomScaleNormal="120" workbookViewId="0">
      <selection activeCell="H33" sqref="H33:H34"/>
    </sheetView>
  </sheetViews>
  <sheetFormatPr defaultRowHeight="15" x14ac:dyDescent="0.25"/>
  <cols>
    <col min="2" max="2" width="36.140625" customWidth="1"/>
    <col min="3" max="3" width="9.28515625" bestFit="1" customWidth="1"/>
    <col min="5" max="5" width="9.28515625" bestFit="1" customWidth="1"/>
    <col min="8" max="8" width="9.28515625" bestFit="1" customWidth="1"/>
  </cols>
  <sheetData>
    <row r="1" spans="1:11" x14ac:dyDescent="0.25">
      <c r="A1" s="1" t="s">
        <v>0</v>
      </c>
      <c r="B1" s="2"/>
      <c r="C1" s="3"/>
      <c r="D1" s="3"/>
      <c r="E1" s="3"/>
      <c r="F1" s="4"/>
      <c r="G1" s="3"/>
      <c r="H1" s="3"/>
      <c r="I1" s="4"/>
      <c r="J1" s="43"/>
      <c r="K1" s="43"/>
    </row>
    <row r="2" spans="1:11" x14ac:dyDescent="0.25">
      <c r="A2" s="6" t="s">
        <v>79</v>
      </c>
      <c r="B2" s="6"/>
      <c r="C2" s="3"/>
      <c r="D2" s="3"/>
      <c r="E2" s="3"/>
      <c r="F2" s="4"/>
      <c r="G2" s="3"/>
      <c r="H2" s="3"/>
      <c r="I2" s="4"/>
      <c r="J2" s="43"/>
      <c r="K2" s="43"/>
    </row>
    <row r="3" spans="1:11" x14ac:dyDescent="0.25">
      <c r="A3" s="8" t="s">
        <v>1</v>
      </c>
      <c r="B3" s="8"/>
      <c r="C3" s="8"/>
      <c r="D3" s="8"/>
      <c r="E3" s="8"/>
      <c r="F3" s="8"/>
      <c r="G3" s="8"/>
      <c r="H3" s="8"/>
      <c r="I3" s="8"/>
      <c r="J3" s="43"/>
    </row>
    <row r="4" spans="1:11" x14ac:dyDescent="0.25">
      <c r="A4" s="10" t="s">
        <v>2</v>
      </c>
      <c r="B4" s="11"/>
      <c r="C4" s="11"/>
      <c r="D4" s="12" t="s">
        <v>3</v>
      </c>
      <c r="E4" s="13"/>
      <c r="F4" s="14"/>
      <c r="G4" s="13"/>
      <c r="H4" s="13"/>
      <c r="I4" s="15"/>
      <c r="J4" s="43"/>
    </row>
    <row r="5" spans="1:11" x14ac:dyDescent="0.25">
      <c r="A5" s="16" t="s">
        <v>4</v>
      </c>
      <c r="B5" s="17" t="s">
        <v>5</v>
      </c>
      <c r="C5" s="18" t="s">
        <v>6</v>
      </c>
      <c r="D5" s="19" t="s">
        <v>7</v>
      </c>
      <c r="E5" s="20"/>
      <c r="F5" s="20"/>
      <c r="G5" s="21" t="s">
        <v>8</v>
      </c>
      <c r="H5" s="20"/>
      <c r="I5" s="20"/>
      <c r="J5" s="43"/>
    </row>
    <row r="6" spans="1:11" x14ac:dyDescent="0.25">
      <c r="A6" s="22" t="s">
        <v>9</v>
      </c>
      <c r="B6" s="23"/>
      <c r="C6" s="52"/>
      <c r="D6" s="53" t="s">
        <v>10</v>
      </c>
      <c r="E6" s="53" t="s">
        <v>11</v>
      </c>
      <c r="F6" s="53" t="s">
        <v>12</v>
      </c>
      <c r="G6" s="53" t="s">
        <v>13</v>
      </c>
      <c r="H6" s="53" t="s">
        <v>11</v>
      </c>
      <c r="I6" s="53" t="s">
        <v>12</v>
      </c>
      <c r="J6" s="43"/>
    </row>
    <row r="7" spans="1:11" ht="11.25" customHeight="1" x14ac:dyDescent="0.25">
      <c r="A7" s="24">
        <v>0</v>
      </c>
      <c r="B7" s="25" t="s">
        <v>14</v>
      </c>
      <c r="C7" s="142">
        <f>9788+16542+16924+10028+15046+67891+78266+131075+61469+54016+34581</f>
        <v>495626</v>
      </c>
      <c r="D7" s="142"/>
      <c r="E7" s="142">
        <f>1929+630+8309+56654+63689+88939+47428+27861+12436</f>
        <v>307875</v>
      </c>
      <c r="F7" s="142"/>
      <c r="G7" s="142"/>
      <c r="H7" s="142">
        <f>0+9788+14613+16294+10028+6737+11237+14578+42135+14041+26155+22145</f>
        <v>187751</v>
      </c>
      <c r="I7" s="142"/>
      <c r="J7" s="43"/>
    </row>
    <row r="8" spans="1:11" ht="12" customHeight="1" x14ac:dyDescent="0.25">
      <c r="A8" s="24" t="s">
        <v>15</v>
      </c>
      <c r="B8" s="27" t="s">
        <v>16</v>
      </c>
      <c r="C8" s="142">
        <f>0+1929+630+8309+56654+63689+88939+47428+27861+12436</f>
        <v>307875</v>
      </c>
      <c r="D8" s="142"/>
      <c r="E8" s="142">
        <f>0+1929+630+8309+56654+63689+88939+47428+27861+12436</f>
        <v>307875</v>
      </c>
      <c r="F8" s="142"/>
      <c r="G8" s="142"/>
      <c r="H8" s="142"/>
      <c r="I8" s="142"/>
      <c r="J8" s="43"/>
    </row>
    <row r="9" spans="1:11" ht="12.75" customHeight="1" x14ac:dyDescent="0.25">
      <c r="A9" s="24" t="s">
        <v>17</v>
      </c>
      <c r="B9" s="28" t="s">
        <v>18</v>
      </c>
      <c r="C9" s="142"/>
      <c r="D9" s="142"/>
      <c r="E9" s="142"/>
      <c r="F9" s="142"/>
      <c r="G9" s="142"/>
      <c r="H9" s="142"/>
      <c r="I9" s="142"/>
      <c r="J9" s="43"/>
    </row>
    <row r="10" spans="1:11" ht="12" customHeight="1" x14ac:dyDescent="0.25">
      <c r="A10" s="24" t="s">
        <v>19</v>
      </c>
      <c r="B10" s="27" t="s">
        <v>20</v>
      </c>
      <c r="C10" s="142"/>
      <c r="D10" s="142"/>
      <c r="E10" s="142"/>
      <c r="F10" s="142"/>
      <c r="G10" s="142"/>
      <c r="H10" s="142"/>
      <c r="I10" s="142"/>
      <c r="J10" s="43"/>
    </row>
    <row r="11" spans="1:11" ht="13.5" customHeight="1" x14ac:dyDescent="0.25">
      <c r="A11" s="24" t="s">
        <v>21</v>
      </c>
      <c r="B11" s="29" t="s">
        <v>22</v>
      </c>
      <c r="C11" s="142"/>
      <c r="D11" s="142"/>
      <c r="E11" s="142"/>
      <c r="F11" s="142"/>
      <c r="G11" s="142"/>
      <c r="H11" s="142"/>
      <c r="I11" s="142"/>
      <c r="J11" s="43"/>
    </row>
    <row r="12" spans="1:11" ht="12.75" customHeight="1" x14ac:dyDescent="0.25">
      <c r="A12" s="24" t="s">
        <v>23</v>
      </c>
      <c r="B12" s="27" t="s">
        <v>24</v>
      </c>
      <c r="C12" s="142"/>
      <c r="D12" s="142"/>
      <c r="E12" s="142"/>
      <c r="F12" s="142"/>
      <c r="G12" s="142"/>
      <c r="H12" s="142"/>
      <c r="I12" s="142"/>
      <c r="J12" s="43"/>
    </row>
    <row r="13" spans="1:11" ht="13.5" customHeight="1" x14ac:dyDescent="0.25">
      <c r="A13" s="24" t="s">
        <v>25</v>
      </c>
      <c r="B13" s="27" t="s">
        <v>26</v>
      </c>
      <c r="C13" s="142">
        <f>0+680+840+1340+1890+1740+1000+470</f>
        <v>7960</v>
      </c>
      <c r="D13" s="142"/>
      <c r="E13" s="142"/>
      <c r="F13" s="142"/>
      <c r="G13" s="142"/>
      <c r="H13" s="142">
        <f>0+680+840+1340+1890+1740+1000+470</f>
        <v>7960</v>
      </c>
      <c r="I13" s="142"/>
      <c r="J13" s="43"/>
    </row>
    <row r="14" spans="1:11" ht="12.75" customHeight="1" x14ac:dyDescent="0.25">
      <c r="A14" s="24" t="s">
        <v>27</v>
      </c>
      <c r="B14" s="29" t="s">
        <v>28</v>
      </c>
      <c r="C14" s="142">
        <f>0+1355+3957+1001+1052+223+3152+1002+1002</f>
        <v>12744</v>
      </c>
      <c r="D14" s="142"/>
      <c r="E14" s="142"/>
      <c r="F14" s="142"/>
      <c r="G14" s="142"/>
      <c r="H14" s="142">
        <f>0+1355+3957+1001+1052+223+3152+1002+1002</f>
        <v>12744</v>
      </c>
      <c r="I14" s="142"/>
      <c r="J14" s="43"/>
    </row>
    <row r="15" spans="1:11" ht="24" customHeight="1" x14ac:dyDescent="0.25">
      <c r="A15" s="24" t="s">
        <v>29</v>
      </c>
      <c r="B15" s="27" t="s">
        <v>30</v>
      </c>
      <c r="C15" s="142">
        <f>0+9788+12578+12337+9027+5685+10397+13015+37093+11299+24153+21675</f>
        <v>167047</v>
      </c>
      <c r="D15" s="142"/>
      <c r="E15" s="142"/>
      <c r="F15" s="142"/>
      <c r="G15" s="142"/>
      <c r="H15" s="142">
        <f>0+9788+12578+12337+9027+5685+10397+13015+37093+11299+24153+21675</f>
        <v>167047</v>
      </c>
      <c r="I15" s="142"/>
      <c r="J15" s="43"/>
    </row>
    <row r="16" spans="1:11" ht="12.75" customHeight="1" x14ac:dyDescent="0.25">
      <c r="A16" s="24" t="s">
        <v>31</v>
      </c>
      <c r="B16" s="27" t="s">
        <v>32</v>
      </c>
      <c r="C16" s="142"/>
      <c r="D16" s="142"/>
      <c r="E16" s="142"/>
      <c r="F16" s="142"/>
      <c r="G16" s="142"/>
      <c r="H16" s="142"/>
      <c r="I16" s="142"/>
      <c r="J16" s="43"/>
    </row>
    <row r="17" spans="1:16" ht="12" customHeight="1" x14ac:dyDescent="0.25">
      <c r="A17" s="24" t="s">
        <v>33</v>
      </c>
      <c r="B17" s="27" t="s">
        <v>34</v>
      </c>
      <c r="C17" s="142"/>
      <c r="D17" s="142"/>
      <c r="E17" s="142"/>
      <c r="F17" s="142"/>
      <c r="G17" s="142"/>
      <c r="H17" s="142"/>
      <c r="I17" s="142"/>
      <c r="J17" s="43"/>
    </row>
    <row r="18" spans="1:16" ht="24.75" customHeight="1" x14ac:dyDescent="0.25">
      <c r="A18" s="24" t="s">
        <v>35</v>
      </c>
      <c r="B18" s="29" t="s">
        <v>36</v>
      </c>
      <c r="C18" s="142"/>
      <c r="D18" s="142"/>
      <c r="E18" s="142"/>
      <c r="F18" s="142"/>
      <c r="G18" s="142"/>
      <c r="H18" s="142"/>
      <c r="I18" s="142"/>
      <c r="J18" s="43"/>
    </row>
    <row r="19" spans="1:16" ht="12.75" customHeight="1" x14ac:dyDescent="0.25">
      <c r="A19" s="24" t="s">
        <v>37</v>
      </c>
      <c r="B19" s="27" t="s">
        <v>38</v>
      </c>
      <c r="C19" s="142"/>
      <c r="D19" s="142"/>
      <c r="E19" s="142"/>
      <c r="F19" s="142"/>
      <c r="G19" s="142"/>
      <c r="H19" s="142"/>
      <c r="I19" s="142"/>
      <c r="J19" s="43"/>
    </row>
    <row r="20" spans="1:16" ht="12.75" customHeight="1" x14ac:dyDescent="0.25">
      <c r="A20" s="24" t="s">
        <v>39</v>
      </c>
      <c r="B20" s="27" t="s">
        <v>40</v>
      </c>
      <c r="C20" s="142"/>
      <c r="D20" s="142"/>
      <c r="E20" s="142"/>
      <c r="F20" s="142"/>
      <c r="G20" s="142"/>
      <c r="H20" s="142"/>
      <c r="I20" s="142"/>
      <c r="J20" s="43"/>
    </row>
    <row r="21" spans="1:16" ht="13.5" customHeight="1" x14ac:dyDescent="0.25">
      <c r="A21" s="24" t="s">
        <v>41</v>
      </c>
      <c r="B21" s="27" t="s">
        <v>42</v>
      </c>
      <c r="C21" s="142"/>
      <c r="D21" s="142"/>
      <c r="E21" s="142"/>
      <c r="F21" s="142"/>
      <c r="G21" s="142"/>
      <c r="H21" s="142"/>
      <c r="I21" s="142"/>
      <c r="J21" s="43"/>
    </row>
    <row r="22" spans="1:16" ht="12.75" customHeight="1" x14ac:dyDescent="0.25">
      <c r="A22" s="24" t="s">
        <v>43</v>
      </c>
      <c r="B22" s="27" t="s">
        <v>44</v>
      </c>
      <c r="C22" s="51"/>
      <c r="D22" s="51"/>
      <c r="E22" s="51"/>
      <c r="F22" s="51"/>
      <c r="G22" s="51"/>
      <c r="H22" s="51"/>
      <c r="I22" s="51"/>
      <c r="J22" s="43"/>
    </row>
    <row r="23" spans="1:16" ht="13.5" customHeight="1" x14ac:dyDescent="0.25">
      <c r="A23" s="24" t="s">
        <v>45</v>
      </c>
      <c r="B23" s="27" t="s">
        <v>46</v>
      </c>
      <c r="C23" s="51"/>
      <c r="D23" s="51"/>
      <c r="E23" s="51"/>
      <c r="F23" s="51"/>
      <c r="G23" s="51"/>
      <c r="H23" s="51"/>
      <c r="I23" s="51"/>
      <c r="J23" s="43"/>
    </row>
    <row r="24" spans="1:16" ht="13.5" customHeight="1" x14ac:dyDescent="0.25">
      <c r="A24" s="24" t="s">
        <v>47</v>
      </c>
      <c r="B24" s="27" t="s">
        <v>48</v>
      </c>
      <c r="C24" s="51"/>
      <c r="D24" s="51"/>
      <c r="E24" s="51"/>
      <c r="F24" s="51"/>
      <c r="G24" s="51"/>
      <c r="H24" s="51"/>
      <c r="I24" s="51"/>
      <c r="J24" s="43"/>
    </row>
    <row r="25" spans="1:16" ht="13.5" customHeight="1" x14ac:dyDescent="0.25">
      <c r="A25" s="24" t="s">
        <v>49</v>
      </c>
      <c r="B25" s="27" t="s">
        <v>50</v>
      </c>
      <c r="C25" s="51"/>
      <c r="D25" s="51"/>
      <c r="E25" s="51"/>
      <c r="F25" s="51"/>
      <c r="G25" s="51"/>
      <c r="H25" s="51"/>
      <c r="I25" s="51"/>
      <c r="J25" s="43"/>
      <c r="P25" s="40"/>
    </row>
    <row r="26" spans="1:16" ht="12.75" customHeight="1" x14ac:dyDescent="0.25">
      <c r="A26" s="24" t="s">
        <v>51</v>
      </c>
      <c r="B26" s="27" t="s">
        <v>52</v>
      </c>
      <c r="C26" s="51"/>
      <c r="D26" s="51"/>
      <c r="E26" s="51"/>
      <c r="F26" s="51"/>
      <c r="G26" s="51"/>
      <c r="H26" s="51"/>
      <c r="I26" s="51"/>
      <c r="J26" s="43"/>
    </row>
    <row r="27" spans="1:16" ht="11.25" customHeight="1" x14ac:dyDescent="0.25">
      <c r="A27" s="24" t="s">
        <v>53</v>
      </c>
      <c r="B27" s="27" t="s">
        <v>54</v>
      </c>
      <c r="C27" s="51"/>
      <c r="D27" s="51"/>
      <c r="E27" s="51"/>
      <c r="F27" s="51"/>
      <c r="G27" s="51"/>
      <c r="H27" s="51"/>
      <c r="I27" s="51"/>
      <c r="J27" s="43"/>
    </row>
    <row r="28" spans="1:16" ht="11.25" customHeight="1" x14ac:dyDescent="0.25">
      <c r="A28" s="24" t="s">
        <v>55</v>
      </c>
      <c r="B28" s="27" t="s">
        <v>56</v>
      </c>
      <c r="C28" s="51"/>
      <c r="D28" s="51"/>
      <c r="E28" s="51"/>
      <c r="F28" s="51"/>
      <c r="G28" s="51"/>
      <c r="H28" s="51"/>
      <c r="I28" s="51"/>
      <c r="J28" s="43"/>
    </row>
    <row r="29" spans="1:16" ht="13.5" customHeight="1" x14ac:dyDescent="0.25">
      <c r="A29" s="24" t="s">
        <v>57</v>
      </c>
      <c r="B29" s="27" t="s">
        <v>58</v>
      </c>
      <c r="C29" s="51"/>
      <c r="D29" s="51"/>
      <c r="E29" s="51"/>
      <c r="F29" s="51"/>
      <c r="G29" s="51"/>
      <c r="H29" s="51"/>
      <c r="I29" s="51"/>
      <c r="J29" s="43"/>
    </row>
    <row r="30" spans="1:16" ht="12" customHeight="1" x14ac:dyDescent="0.25">
      <c r="A30" s="24" t="s">
        <v>59</v>
      </c>
      <c r="B30" s="29" t="s">
        <v>60</v>
      </c>
      <c r="C30" s="51"/>
      <c r="D30" s="51"/>
      <c r="E30" s="51"/>
      <c r="F30" s="51"/>
      <c r="G30" s="51"/>
      <c r="H30" s="51"/>
      <c r="I30" s="51"/>
      <c r="J30" s="43"/>
    </row>
    <row r="31" spans="1:16" ht="12.75" customHeight="1" x14ac:dyDescent="0.25">
      <c r="A31" s="24" t="s">
        <v>61</v>
      </c>
      <c r="B31" s="27" t="s">
        <v>62</v>
      </c>
      <c r="C31" s="51"/>
      <c r="D31" s="51"/>
      <c r="E31" s="51"/>
      <c r="F31" s="51"/>
      <c r="G31" s="51"/>
      <c r="H31" s="51"/>
      <c r="I31" s="51"/>
      <c r="J31" s="43"/>
    </row>
    <row r="32" spans="1:16" ht="11.25" customHeight="1" x14ac:dyDescent="0.25">
      <c r="A32" s="24" t="s">
        <v>63</v>
      </c>
      <c r="B32" s="27" t="s">
        <v>64</v>
      </c>
      <c r="C32" s="51"/>
      <c r="D32" s="51"/>
      <c r="E32" s="51"/>
      <c r="F32" s="51"/>
      <c r="G32" s="51"/>
      <c r="H32" s="51"/>
      <c r="I32" s="51"/>
      <c r="J32" s="43"/>
    </row>
    <row r="33" spans="1:10" ht="11.25" customHeight="1" x14ac:dyDescent="0.25">
      <c r="A33" s="33" t="s">
        <v>4</v>
      </c>
      <c r="B33" s="34" t="s">
        <v>65</v>
      </c>
      <c r="C33" s="35">
        <f>5+10+15+14+9+14+52+58+103+65+63+35</f>
        <v>443</v>
      </c>
      <c r="D33" s="35"/>
      <c r="E33" s="35"/>
      <c r="F33" s="35"/>
      <c r="G33" s="35"/>
      <c r="H33" s="35"/>
      <c r="I33" s="35"/>
      <c r="J33" s="43"/>
    </row>
    <row r="34" spans="1:10" x14ac:dyDescent="0.25">
      <c r="A34" s="5"/>
      <c r="B34" s="36" t="s">
        <v>3</v>
      </c>
      <c r="C34" s="37"/>
      <c r="D34" s="38"/>
      <c r="E34" s="38"/>
      <c r="F34" s="38"/>
      <c r="G34" s="38"/>
      <c r="H34" s="38"/>
      <c r="I34" s="38"/>
      <c r="J34" s="43"/>
    </row>
    <row r="35" spans="1:10" x14ac:dyDescent="0.25">
      <c r="A35" s="5"/>
      <c r="B35" s="36" t="s">
        <v>66</v>
      </c>
      <c r="C35" s="39">
        <f>5+8+13+12+8+12+47+32+77+43+47+29</f>
        <v>333</v>
      </c>
      <c r="D35" s="38"/>
      <c r="E35" s="38"/>
      <c r="F35" s="38"/>
      <c r="G35" s="38"/>
      <c r="H35" s="38"/>
      <c r="I35" s="38"/>
      <c r="J35" s="43"/>
    </row>
    <row r="36" spans="1:10" x14ac:dyDescent="0.25">
      <c r="A36" s="5"/>
      <c r="B36" s="36" t="s">
        <v>67</v>
      </c>
      <c r="C36" s="39">
        <f>0+2+2+2+1+2+5+26+26+22+16+6</f>
        <v>110</v>
      </c>
      <c r="D36" s="38"/>
      <c r="E36" s="38"/>
      <c r="F36" s="38"/>
      <c r="G36" s="38"/>
      <c r="H36" s="38"/>
      <c r="I36" s="38"/>
      <c r="J36" s="43"/>
    </row>
    <row r="37" spans="1:10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</row>
  </sheetData>
  <pageMargins left="0.7" right="0.7" top="0.75" bottom="0.75" header="0.3" footer="0.3"/>
  <pageSetup paperSize="9" orientation="landscape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93"/>
  <sheetViews>
    <sheetView topLeftCell="A10" workbookViewId="0">
      <selection activeCell="K35" sqref="K35"/>
    </sheetView>
  </sheetViews>
  <sheetFormatPr defaultRowHeight="15" x14ac:dyDescent="0.25"/>
  <cols>
    <col min="2" max="2" width="36.140625" customWidth="1"/>
  </cols>
  <sheetData>
    <row r="1" spans="1:20" x14ac:dyDescent="0.25">
      <c r="A1" s="1" t="s">
        <v>0</v>
      </c>
      <c r="B1" s="2"/>
      <c r="C1" s="3"/>
      <c r="D1" s="3"/>
      <c r="E1" s="3"/>
      <c r="F1" s="4"/>
      <c r="G1" s="3"/>
      <c r="H1" s="3"/>
      <c r="I1" s="4"/>
      <c r="J1" s="43"/>
    </row>
    <row r="2" spans="1:20" x14ac:dyDescent="0.25">
      <c r="A2" s="6" t="s">
        <v>81</v>
      </c>
      <c r="B2" s="6"/>
      <c r="C2" s="3"/>
      <c r="D2" s="3"/>
      <c r="E2" s="3"/>
      <c r="F2" s="4"/>
      <c r="G2" s="3"/>
      <c r="H2" s="3"/>
      <c r="I2" s="4"/>
      <c r="J2" s="43"/>
      <c r="T2" s="40"/>
    </row>
    <row r="3" spans="1:20" x14ac:dyDescent="0.25">
      <c r="A3" s="8" t="s">
        <v>1</v>
      </c>
      <c r="B3" s="8"/>
      <c r="C3" s="8"/>
      <c r="D3" s="8"/>
      <c r="E3" s="8"/>
      <c r="F3" s="8"/>
      <c r="G3" s="8"/>
      <c r="H3" s="8"/>
      <c r="I3" s="8"/>
      <c r="J3" s="43"/>
    </row>
    <row r="4" spans="1:20" x14ac:dyDescent="0.25">
      <c r="A4" s="10" t="s">
        <v>2</v>
      </c>
      <c r="B4" s="11"/>
      <c r="C4" s="11"/>
      <c r="D4" s="12" t="s">
        <v>3</v>
      </c>
      <c r="E4" s="13"/>
      <c r="F4" s="14"/>
      <c r="G4" s="13"/>
      <c r="H4" s="13"/>
      <c r="I4" s="15"/>
      <c r="J4" s="43"/>
    </row>
    <row r="5" spans="1:20" x14ac:dyDescent="0.25">
      <c r="A5" s="16" t="s">
        <v>4</v>
      </c>
      <c r="B5" s="17" t="s">
        <v>5</v>
      </c>
      <c r="C5" s="18" t="s">
        <v>6</v>
      </c>
      <c r="D5" s="19" t="s">
        <v>7</v>
      </c>
      <c r="E5" s="20"/>
      <c r="F5" s="20"/>
      <c r="G5" s="21" t="s">
        <v>8</v>
      </c>
      <c r="H5" s="20"/>
      <c r="I5" s="20"/>
      <c r="J5" s="43"/>
    </row>
    <row r="6" spans="1:20" x14ac:dyDescent="0.25">
      <c r="A6" s="22" t="s">
        <v>9</v>
      </c>
      <c r="B6" s="23"/>
      <c r="C6" s="23"/>
      <c r="D6" s="24" t="s">
        <v>10</v>
      </c>
      <c r="E6" s="24" t="s">
        <v>11</v>
      </c>
      <c r="F6" s="24" t="s">
        <v>12</v>
      </c>
      <c r="G6" s="24" t="s">
        <v>13</v>
      </c>
      <c r="H6" s="24" t="s">
        <v>11</v>
      </c>
      <c r="I6" s="24" t="s">
        <v>12</v>
      </c>
      <c r="J6" s="43"/>
    </row>
    <row r="7" spans="1:20" x14ac:dyDescent="0.25">
      <c r="A7" s="24">
        <v>0</v>
      </c>
      <c r="B7" s="25" t="s">
        <v>14</v>
      </c>
      <c r="C7" s="26">
        <f>8202+7802+16546+15860+16374+19731+10178+7484+1120+600+850+2308</f>
        <v>107055</v>
      </c>
      <c r="D7" s="26"/>
      <c r="E7" s="26"/>
      <c r="F7" s="26"/>
      <c r="G7" s="26"/>
      <c r="H7" s="26">
        <f>8202+7802+16546+15860+16374+19731+10178+7484+1120+600+850+2308</f>
        <v>107055</v>
      </c>
      <c r="I7" s="26"/>
      <c r="J7" s="43"/>
    </row>
    <row r="8" spans="1:20" ht="12.75" customHeight="1" x14ac:dyDescent="0.25">
      <c r="A8" s="24" t="s">
        <v>15</v>
      </c>
      <c r="B8" s="27" t="s">
        <v>16</v>
      </c>
      <c r="C8" s="26"/>
      <c r="D8" s="26"/>
      <c r="E8" s="26"/>
      <c r="F8" s="26"/>
      <c r="G8" s="26"/>
      <c r="H8" s="26"/>
      <c r="I8" s="26"/>
      <c r="J8" s="43"/>
    </row>
    <row r="9" spans="1:20" ht="12.75" customHeight="1" x14ac:dyDescent="0.25">
      <c r="A9" s="24" t="s">
        <v>17</v>
      </c>
      <c r="B9" s="28" t="s">
        <v>18</v>
      </c>
      <c r="C9" s="26"/>
      <c r="D9" s="26"/>
      <c r="E9" s="26"/>
      <c r="F9" s="26"/>
      <c r="G9" s="26"/>
      <c r="H9" s="26"/>
      <c r="I9" s="26"/>
      <c r="J9" s="43"/>
    </row>
    <row r="10" spans="1:20" ht="12.75" customHeight="1" x14ac:dyDescent="0.25">
      <c r="A10" s="24" t="s">
        <v>19</v>
      </c>
      <c r="B10" s="27" t="s">
        <v>20</v>
      </c>
      <c r="C10" s="26"/>
      <c r="D10" s="26"/>
      <c r="E10" s="26"/>
      <c r="F10" s="26"/>
      <c r="G10" s="26"/>
      <c r="H10" s="26"/>
      <c r="I10" s="26"/>
      <c r="J10" s="43"/>
    </row>
    <row r="11" spans="1:20" ht="12.75" customHeight="1" x14ac:dyDescent="0.25">
      <c r="A11" s="24" t="s">
        <v>21</v>
      </c>
      <c r="B11" s="29" t="s">
        <v>22</v>
      </c>
      <c r="C11" s="26"/>
      <c r="D11" s="26"/>
      <c r="E11" s="26"/>
      <c r="F11" s="26"/>
      <c r="G11" s="26"/>
      <c r="H11" s="26"/>
      <c r="I11" s="26"/>
      <c r="J11" s="43"/>
    </row>
    <row r="12" spans="1:20" ht="12.75" customHeight="1" x14ac:dyDescent="0.25">
      <c r="A12" s="24" t="s">
        <v>23</v>
      </c>
      <c r="B12" s="27" t="s">
        <v>24</v>
      </c>
      <c r="C12" s="26"/>
      <c r="D12" s="26"/>
      <c r="E12" s="26"/>
      <c r="F12" s="26"/>
      <c r="G12" s="26"/>
      <c r="H12" s="26"/>
      <c r="I12" s="26"/>
      <c r="J12" s="43"/>
    </row>
    <row r="13" spans="1:20" ht="13.5" customHeight="1" x14ac:dyDescent="0.25">
      <c r="A13" s="24" t="s">
        <v>25</v>
      </c>
      <c r="B13" s="27" t="s">
        <v>26</v>
      </c>
      <c r="C13" s="26">
        <f>730+2000+920+450+1250+1080+1330+420+600+850+1000+600</f>
        <v>11230</v>
      </c>
      <c r="D13" s="26"/>
      <c r="E13" s="26"/>
      <c r="F13" s="26"/>
      <c r="G13" s="26"/>
      <c r="H13" s="26">
        <f>730+2000+920+450+1250+1080+1330+420+600+850+1000+600</f>
        <v>11230</v>
      </c>
      <c r="I13" s="26"/>
      <c r="J13" s="43"/>
    </row>
    <row r="14" spans="1:20" ht="12.75" customHeight="1" x14ac:dyDescent="0.25">
      <c r="A14" s="24" t="s">
        <v>27</v>
      </c>
      <c r="B14" s="29" t="s">
        <v>28</v>
      </c>
      <c r="C14" s="26"/>
      <c r="D14" s="26"/>
      <c r="E14" s="26"/>
      <c r="F14" s="26"/>
      <c r="G14" s="26"/>
      <c r="H14" s="26"/>
      <c r="I14" s="26"/>
      <c r="J14" s="43"/>
    </row>
    <row r="15" spans="1:20" ht="26.25" customHeight="1" x14ac:dyDescent="0.25">
      <c r="A15" s="24" t="s">
        <v>29</v>
      </c>
      <c r="B15" s="27" t="s">
        <v>30</v>
      </c>
      <c r="C15" s="26">
        <f>7472+5802+15626+15410+15124+18651+9578+6154+700+1308</f>
        <v>95825</v>
      </c>
      <c r="D15" s="26"/>
      <c r="E15" s="26"/>
      <c r="F15" s="26"/>
      <c r="G15" s="26"/>
      <c r="H15" s="26">
        <f>7472+5802+15626+15410+15124+18651+9578+6154+700+1308</f>
        <v>95825</v>
      </c>
      <c r="I15" s="26"/>
      <c r="J15" s="43"/>
    </row>
    <row r="16" spans="1:20" ht="11.25" customHeight="1" x14ac:dyDescent="0.25">
      <c r="A16" s="24" t="s">
        <v>31</v>
      </c>
      <c r="B16" s="27" t="s">
        <v>32</v>
      </c>
      <c r="C16" s="26"/>
      <c r="D16" s="26"/>
      <c r="E16" s="26"/>
      <c r="F16" s="26"/>
      <c r="G16" s="26"/>
      <c r="H16" s="26"/>
      <c r="I16" s="26"/>
      <c r="J16" s="43"/>
    </row>
    <row r="17" spans="1:16" ht="11.25" customHeight="1" x14ac:dyDescent="0.25">
      <c r="A17" s="24" t="s">
        <v>33</v>
      </c>
      <c r="B17" s="27" t="s">
        <v>34</v>
      </c>
      <c r="C17" s="26"/>
      <c r="D17" s="26"/>
      <c r="E17" s="26"/>
      <c r="F17" s="26"/>
      <c r="G17" s="26"/>
      <c r="H17" s="26"/>
      <c r="I17" s="26"/>
      <c r="J17" s="43"/>
    </row>
    <row r="18" spans="1:16" ht="24" customHeight="1" x14ac:dyDescent="0.25">
      <c r="A18" s="24" t="s">
        <v>35</v>
      </c>
      <c r="B18" s="29" t="s">
        <v>36</v>
      </c>
      <c r="C18" s="26"/>
      <c r="D18" s="26"/>
      <c r="E18" s="26"/>
      <c r="F18" s="26"/>
      <c r="G18" s="26"/>
      <c r="H18" s="26"/>
      <c r="I18" s="26"/>
      <c r="J18" s="43"/>
    </row>
    <row r="19" spans="1:16" ht="12" customHeight="1" x14ac:dyDescent="0.25">
      <c r="A19" s="24" t="s">
        <v>37</v>
      </c>
      <c r="B19" s="27" t="s">
        <v>38</v>
      </c>
      <c r="C19" s="26"/>
      <c r="D19" s="26"/>
      <c r="E19" s="26"/>
      <c r="F19" s="26"/>
      <c r="G19" s="26"/>
      <c r="H19" s="26"/>
      <c r="I19" s="26"/>
      <c r="J19" s="43"/>
    </row>
    <row r="20" spans="1:16" ht="12" customHeight="1" x14ac:dyDescent="0.25">
      <c r="A20" s="24" t="s">
        <v>39</v>
      </c>
      <c r="B20" s="27" t="s">
        <v>40</v>
      </c>
      <c r="C20" s="26"/>
      <c r="D20" s="26"/>
      <c r="E20" s="26"/>
      <c r="F20" s="26"/>
      <c r="G20" s="26"/>
      <c r="H20" s="26"/>
      <c r="I20" s="26"/>
      <c r="J20" s="43"/>
      <c r="P20" s="40"/>
    </row>
    <row r="21" spans="1:16" ht="12.75" customHeight="1" x14ac:dyDescent="0.25">
      <c r="A21" s="24" t="s">
        <v>41</v>
      </c>
      <c r="B21" s="27" t="s">
        <v>42</v>
      </c>
      <c r="C21" s="26"/>
      <c r="D21" s="26"/>
      <c r="E21" s="26"/>
      <c r="F21" s="26"/>
      <c r="G21" s="26"/>
      <c r="H21" s="26"/>
      <c r="I21" s="26"/>
      <c r="J21" s="43"/>
    </row>
    <row r="22" spans="1:16" ht="11.25" customHeight="1" x14ac:dyDescent="0.25">
      <c r="A22" s="24" t="s">
        <v>43</v>
      </c>
      <c r="B22" s="27" t="s">
        <v>44</v>
      </c>
      <c r="C22" s="26"/>
      <c r="D22" s="26"/>
      <c r="E22" s="26"/>
      <c r="F22" s="26"/>
      <c r="G22" s="26"/>
      <c r="H22" s="26"/>
      <c r="I22" s="26"/>
      <c r="J22" s="43"/>
    </row>
    <row r="23" spans="1:16" ht="12" customHeight="1" x14ac:dyDescent="0.25">
      <c r="A23" s="24" t="s">
        <v>45</v>
      </c>
      <c r="B23" s="27" t="s">
        <v>46</v>
      </c>
      <c r="C23" s="26"/>
      <c r="D23" s="26"/>
      <c r="E23" s="26"/>
      <c r="F23" s="26"/>
      <c r="G23" s="26"/>
      <c r="H23" s="26"/>
      <c r="I23" s="26"/>
      <c r="J23" s="43"/>
    </row>
    <row r="24" spans="1:16" ht="12" customHeight="1" x14ac:dyDescent="0.25">
      <c r="A24" s="24" t="s">
        <v>47</v>
      </c>
      <c r="B24" s="27" t="s">
        <v>48</v>
      </c>
      <c r="C24" s="26"/>
      <c r="D24" s="26"/>
      <c r="E24" s="26"/>
      <c r="F24" s="26"/>
      <c r="G24" s="26"/>
      <c r="H24" s="26"/>
      <c r="I24" s="26"/>
      <c r="J24" s="43"/>
    </row>
    <row r="25" spans="1:16" ht="12" customHeight="1" x14ac:dyDescent="0.25">
      <c r="A25" s="24" t="s">
        <v>49</v>
      </c>
      <c r="B25" s="27" t="s">
        <v>50</v>
      </c>
      <c r="C25" s="26"/>
      <c r="D25" s="26"/>
      <c r="E25" s="26"/>
      <c r="F25" s="26"/>
      <c r="G25" s="26"/>
      <c r="H25" s="26"/>
      <c r="I25" s="26"/>
      <c r="J25" s="43"/>
    </row>
    <row r="26" spans="1:16" ht="11.25" customHeight="1" x14ac:dyDescent="0.25">
      <c r="A26" s="24" t="s">
        <v>51</v>
      </c>
      <c r="B26" s="27" t="s">
        <v>52</v>
      </c>
      <c r="C26" s="26"/>
      <c r="D26" s="26"/>
      <c r="E26" s="26"/>
      <c r="F26" s="26"/>
      <c r="G26" s="26"/>
      <c r="H26" s="26"/>
      <c r="I26" s="26"/>
      <c r="J26" s="43"/>
    </row>
    <row r="27" spans="1:16" ht="12.75" customHeight="1" x14ac:dyDescent="0.25">
      <c r="A27" s="24" t="s">
        <v>53</v>
      </c>
      <c r="B27" s="27" t="s">
        <v>54</v>
      </c>
      <c r="C27" s="26"/>
      <c r="D27" s="26"/>
      <c r="E27" s="26"/>
      <c r="F27" s="26"/>
      <c r="G27" s="26"/>
      <c r="H27" s="26"/>
      <c r="I27" s="26"/>
      <c r="J27" s="43"/>
    </row>
    <row r="28" spans="1:16" ht="12" customHeight="1" x14ac:dyDescent="0.25">
      <c r="A28" s="24" t="s">
        <v>55</v>
      </c>
      <c r="B28" s="27" t="s">
        <v>56</v>
      </c>
      <c r="C28" s="26"/>
      <c r="D28" s="26"/>
      <c r="E28" s="26"/>
      <c r="F28" s="26"/>
      <c r="G28" s="26"/>
      <c r="H28" s="26"/>
      <c r="I28" s="26"/>
      <c r="J28" s="43"/>
    </row>
    <row r="29" spans="1:16" ht="12" customHeight="1" x14ac:dyDescent="0.25">
      <c r="A29" s="24" t="s">
        <v>57</v>
      </c>
      <c r="B29" s="27" t="s">
        <v>58</v>
      </c>
      <c r="C29" s="26"/>
      <c r="D29" s="26"/>
      <c r="E29" s="26"/>
      <c r="F29" s="26"/>
      <c r="G29" s="26"/>
      <c r="H29" s="26"/>
      <c r="I29" s="26"/>
      <c r="J29" s="43"/>
    </row>
    <row r="30" spans="1:16" ht="12.75" customHeight="1" x14ac:dyDescent="0.25">
      <c r="A30" s="24" t="s">
        <v>59</v>
      </c>
      <c r="B30" s="29" t="s">
        <v>60</v>
      </c>
      <c r="C30" s="26"/>
      <c r="D30" s="26"/>
      <c r="E30" s="26"/>
      <c r="F30" s="26"/>
      <c r="G30" s="26"/>
      <c r="H30" s="26"/>
      <c r="I30" s="26"/>
      <c r="J30" s="43"/>
    </row>
    <row r="31" spans="1:16" ht="11.25" customHeight="1" x14ac:dyDescent="0.25">
      <c r="A31" s="24" t="s">
        <v>61</v>
      </c>
      <c r="B31" s="27" t="s">
        <v>62</v>
      </c>
      <c r="C31" s="26"/>
      <c r="D31" s="26"/>
      <c r="E31" s="26"/>
      <c r="F31" s="26"/>
      <c r="G31" s="26"/>
      <c r="H31" s="26"/>
      <c r="I31" s="26"/>
      <c r="J31" s="43"/>
    </row>
    <row r="32" spans="1:16" ht="12" customHeight="1" x14ac:dyDescent="0.25">
      <c r="A32" s="24" t="s">
        <v>63</v>
      </c>
      <c r="B32" s="27" t="s">
        <v>64</v>
      </c>
      <c r="C32" s="26"/>
      <c r="D32" s="26"/>
      <c r="E32" s="26"/>
      <c r="F32" s="26"/>
      <c r="G32" s="26"/>
      <c r="H32" s="26"/>
      <c r="I32" s="26"/>
      <c r="J32" s="43"/>
    </row>
    <row r="33" spans="1:10" x14ac:dyDescent="0.25">
      <c r="A33" s="33" t="s">
        <v>4</v>
      </c>
      <c r="B33" s="34" t="s">
        <v>65</v>
      </c>
      <c r="C33" s="35">
        <f>7+14+16+12+15+17+11+12+3+2+2+4</f>
        <v>115</v>
      </c>
      <c r="D33" s="38"/>
      <c r="E33" s="38"/>
      <c r="F33" s="38"/>
      <c r="G33" s="38"/>
      <c r="H33" s="32"/>
      <c r="I33" s="32"/>
      <c r="J33" s="43"/>
    </row>
    <row r="34" spans="1:10" x14ac:dyDescent="0.25">
      <c r="A34" s="5"/>
      <c r="B34" s="36" t="s">
        <v>3</v>
      </c>
      <c r="C34" s="37"/>
      <c r="D34" s="38"/>
      <c r="E34" s="38"/>
      <c r="F34" s="38"/>
      <c r="G34" s="38"/>
      <c r="H34" s="35"/>
      <c r="I34" s="35"/>
      <c r="J34" s="43"/>
    </row>
    <row r="35" spans="1:10" x14ac:dyDescent="0.25">
      <c r="A35" s="5"/>
      <c r="B35" s="36" t="s">
        <v>66</v>
      </c>
      <c r="C35" s="39">
        <f>6+14+15+6+12+11+7+9+3+2+2+4</f>
        <v>91</v>
      </c>
      <c r="D35" s="38"/>
      <c r="E35" s="38"/>
      <c r="F35" s="38"/>
      <c r="G35" s="38"/>
      <c r="H35" s="38"/>
      <c r="I35" s="38"/>
      <c r="J35" s="43"/>
    </row>
    <row r="36" spans="1:10" x14ac:dyDescent="0.25">
      <c r="A36" s="5"/>
      <c r="B36" s="36" t="s">
        <v>67</v>
      </c>
      <c r="C36" s="39">
        <f>1+0+1+6+3+6+4+3+0+0+0+0</f>
        <v>24</v>
      </c>
      <c r="D36" s="43"/>
      <c r="E36" s="43"/>
      <c r="F36" s="43"/>
      <c r="G36" s="43"/>
      <c r="H36" s="38"/>
      <c r="I36" s="38"/>
      <c r="J36" s="43"/>
    </row>
    <row r="37" spans="1:10" x14ac:dyDescent="0.25">
      <c r="A37" s="43"/>
      <c r="B37" s="43"/>
      <c r="C37" s="43"/>
      <c r="D37" s="43"/>
      <c r="E37" s="43"/>
      <c r="F37" s="43"/>
      <c r="G37" s="43"/>
      <c r="H37" s="38"/>
      <c r="I37" s="38"/>
      <c r="J37" s="43"/>
    </row>
    <row r="38" spans="1:10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</row>
    <row r="93" spans="20:20" x14ac:dyDescent="0.25">
      <c r="T93" s="40"/>
    </row>
  </sheetData>
  <pageMargins left="0.7" right="0.7" top="0.75" bottom="0.75" header="0.3" footer="0.3"/>
  <pageSetup paperSize="9" orientation="landscape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38"/>
  <sheetViews>
    <sheetView topLeftCell="A16" workbookViewId="0">
      <selection activeCell="J38" sqref="J38"/>
    </sheetView>
  </sheetViews>
  <sheetFormatPr defaultRowHeight="15" x14ac:dyDescent="0.25"/>
  <cols>
    <col min="2" max="2" width="36.140625" customWidth="1"/>
  </cols>
  <sheetData>
    <row r="1" spans="1:10" x14ac:dyDescent="0.25">
      <c r="A1" s="1" t="s">
        <v>0</v>
      </c>
      <c r="B1" s="2"/>
      <c r="C1" s="3"/>
      <c r="D1" s="3"/>
      <c r="E1" s="3"/>
      <c r="F1" s="4"/>
      <c r="G1" s="3"/>
      <c r="H1" s="3"/>
      <c r="I1" s="4"/>
      <c r="J1" s="43"/>
    </row>
    <row r="2" spans="1:10" x14ac:dyDescent="0.25">
      <c r="A2" s="6" t="s">
        <v>80</v>
      </c>
      <c r="B2" s="6"/>
      <c r="C2" s="3"/>
      <c r="D2" s="3"/>
      <c r="E2" s="3"/>
      <c r="F2" s="4"/>
      <c r="G2" s="3"/>
      <c r="H2" s="3"/>
      <c r="I2" s="4"/>
      <c r="J2" s="43"/>
    </row>
    <row r="3" spans="1:10" x14ac:dyDescent="0.25">
      <c r="A3" s="8" t="s">
        <v>1</v>
      </c>
      <c r="B3" s="8"/>
      <c r="C3" s="8"/>
      <c r="D3" s="8"/>
      <c r="E3" s="8"/>
      <c r="F3" s="8"/>
      <c r="G3" s="8"/>
      <c r="H3" s="8"/>
      <c r="I3" s="8"/>
      <c r="J3" s="43"/>
    </row>
    <row r="4" spans="1:10" x14ac:dyDescent="0.25">
      <c r="A4" s="10" t="s">
        <v>2</v>
      </c>
      <c r="B4" s="11"/>
      <c r="C4" s="11"/>
      <c r="D4" s="12" t="s">
        <v>3</v>
      </c>
      <c r="E4" s="13"/>
      <c r="F4" s="14"/>
      <c r="G4" s="13"/>
      <c r="H4" s="13"/>
      <c r="I4" s="15"/>
      <c r="J4" s="43"/>
    </row>
    <row r="5" spans="1:10" x14ac:dyDescent="0.25">
      <c r="A5" s="16" t="s">
        <v>4</v>
      </c>
      <c r="B5" s="17" t="s">
        <v>5</v>
      </c>
      <c r="C5" s="18" t="s">
        <v>6</v>
      </c>
      <c r="D5" s="19" t="s">
        <v>7</v>
      </c>
      <c r="E5" s="20"/>
      <c r="F5" s="20"/>
      <c r="G5" s="21" t="s">
        <v>8</v>
      </c>
      <c r="H5" s="20"/>
      <c r="I5" s="20"/>
      <c r="J5" s="43"/>
    </row>
    <row r="6" spans="1:10" x14ac:dyDescent="0.25">
      <c r="A6" s="22" t="s">
        <v>9</v>
      </c>
      <c r="B6" s="23"/>
      <c r="C6" s="23"/>
      <c r="D6" s="24" t="s">
        <v>10</v>
      </c>
      <c r="E6" s="24" t="s">
        <v>11</v>
      </c>
      <c r="F6" s="24" t="s">
        <v>12</v>
      </c>
      <c r="G6" s="24" t="s">
        <v>13</v>
      </c>
      <c r="H6" s="24" t="s">
        <v>11</v>
      </c>
      <c r="I6" s="24" t="s">
        <v>12</v>
      </c>
      <c r="J6" s="43"/>
    </row>
    <row r="7" spans="1:10" ht="14.25" customHeight="1" x14ac:dyDescent="0.25">
      <c r="A7" s="24">
        <v>0</v>
      </c>
      <c r="B7" s="25" t="s">
        <v>14</v>
      </c>
      <c r="C7" s="26">
        <f>42086+21850+42893+42591+21547+45277+17273+3514+1656+15959</f>
        <v>254646</v>
      </c>
      <c r="D7" s="26"/>
      <c r="E7" s="26">
        <f>800</f>
        <v>800</v>
      </c>
      <c r="F7" s="26"/>
      <c r="G7" s="26"/>
      <c r="H7" s="26">
        <f>41286+21850+42893+42591+21547+45277+17273+3514+1656+15959</f>
        <v>253846</v>
      </c>
      <c r="I7" s="26"/>
      <c r="J7" s="43"/>
    </row>
    <row r="8" spans="1:10" ht="11.25" customHeight="1" x14ac:dyDescent="0.25">
      <c r="A8" s="24" t="s">
        <v>15</v>
      </c>
      <c r="B8" s="27" t="s">
        <v>16</v>
      </c>
      <c r="C8" s="26"/>
      <c r="D8" s="26"/>
      <c r="E8" s="26"/>
      <c r="F8" s="26"/>
      <c r="G8" s="26"/>
      <c r="H8" s="26"/>
      <c r="I8" s="26"/>
      <c r="J8" s="43"/>
    </row>
    <row r="9" spans="1:10" ht="10.5" customHeight="1" x14ac:dyDescent="0.25">
      <c r="A9" s="24" t="s">
        <v>17</v>
      </c>
      <c r="B9" s="28" t="s">
        <v>18</v>
      </c>
      <c r="C9" s="26"/>
      <c r="D9" s="26"/>
      <c r="E9" s="26"/>
      <c r="F9" s="26"/>
      <c r="G9" s="26"/>
      <c r="H9" s="26"/>
      <c r="I9" s="26"/>
      <c r="J9" s="43"/>
    </row>
    <row r="10" spans="1:10" ht="12.75" customHeight="1" x14ac:dyDescent="0.25">
      <c r="A10" s="24" t="s">
        <v>19</v>
      </c>
      <c r="B10" s="27" t="s">
        <v>20</v>
      </c>
      <c r="C10" s="26"/>
      <c r="D10" s="26"/>
      <c r="E10" s="26"/>
      <c r="F10" s="26"/>
      <c r="G10" s="26"/>
      <c r="H10" s="26"/>
      <c r="I10" s="26"/>
      <c r="J10" s="43"/>
    </row>
    <row r="11" spans="1:10" ht="12" customHeight="1" x14ac:dyDescent="0.25">
      <c r="A11" s="24" t="s">
        <v>21</v>
      </c>
      <c r="B11" s="29" t="s">
        <v>22</v>
      </c>
      <c r="C11" s="26"/>
      <c r="D11" s="26"/>
      <c r="E11" s="26"/>
      <c r="F11" s="26"/>
      <c r="G11" s="26"/>
      <c r="H11" s="26"/>
      <c r="I11" s="26"/>
      <c r="J11" s="43"/>
    </row>
    <row r="12" spans="1:10" ht="12.75" customHeight="1" x14ac:dyDescent="0.25">
      <c r="A12" s="24" t="s">
        <v>23</v>
      </c>
      <c r="B12" s="27" t="s">
        <v>24</v>
      </c>
      <c r="C12" s="26"/>
      <c r="D12" s="26"/>
      <c r="E12" s="26"/>
      <c r="F12" s="26"/>
      <c r="G12" s="26"/>
      <c r="H12" s="26"/>
      <c r="I12" s="26"/>
      <c r="J12" s="43"/>
    </row>
    <row r="13" spans="1:10" ht="12" customHeight="1" x14ac:dyDescent="0.25">
      <c r="A13" s="24" t="s">
        <v>25</v>
      </c>
      <c r="B13" s="27" t="s">
        <v>26</v>
      </c>
      <c r="C13" s="26">
        <f>800</f>
        <v>800</v>
      </c>
      <c r="D13" s="26"/>
      <c r="E13" s="26">
        <f>800</f>
        <v>800</v>
      </c>
      <c r="F13" s="26"/>
      <c r="G13" s="26"/>
      <c r="H13" s="26"/>
      <c r="I13" s="26"/>
      <c r="J13" s="43"/>
    </row>
    <row r="14" spans="1:10" ht="12.75" customHeight="1" x14ac:dyDescent="0.25">
      <c r="A14" s="24" t="s">
        <v>27</v>
      </c>
      <c r="B14" s="29" t="s">
        <v>28</v>
      </c>
      <c r="C14" s="26"/>
      <c r="D14" s="26"/>
      <c r="E14" s="26"/>
      <c r="F14" s="26"/>
      <c r="G14" s="26"/>
      <c r="H14" s="26"/>
      <c r="I14" s="26"/>
      <c r="J14" s="43"/>
    </row>
    <row r="15" spans="1:10" ht="22.5" customHeight="1" x14ac:dyDescent="0.25">
      <c r="A15" s="24" t="s">
        <v>29</v>
      </c>
      <c r="B15" s="27" t="s">
        <v>30</v>
      </c>
      <c r="C15" s="26">
        <f>41286+21850+42893+42591+21547+45277+17273+3514+1656+15959</f>
        <v>253846</v>
      </c>
      <c r="D15" s="26"/>
      <c r="E15" s="26"/>
      <c r="F15" s="26"/>
      <c r="G15" s="26"/>
      <c r="H15" s="26">
        <f>41286+21850+42893+42591+21547+45277+17273+3514+1656+15959</f>
        <v>253846</v>
      </c>
      <c r="I15" s="26"/>
      <c r="J15" s="43"/>
    </row>
    <row r="16" spans="1:10" ht="10.5" customHeight="1" x14ac:dyDescent="0.25">
      <c r="A16" s="24" t="s">
        <v>31</v>
      </c>
      <c r="B16" s="27" t="s">
        <v>32</v>
      </c>
      <c r="C16" s="26"/>
      <c r="D16" s="26"/>
      <c r="E16" s="26"/>
      <c r="F16" s="26"/>
      <c r="G16" s="26"/>
      <c r="H16" s="26"/>
      <c r="I16" s="26"/>
      <c r="J16" s="43"/>
    </row>
    <row r="17" spans="1:18" ht="12.75" customHeight="1" x14ac:dyDescent="0.25">
      <c r="A17" s="24" t="s">
        <v>33</v>
      </c>
      <c r="B17" s="27" t="s">
        <v>34</v>
      </c>
      <c r="C17" s="26"/>
      <c r="D17" s="26"/>
      <c r="E17" s="26"/>
      <c r="F17" s="26"/>
      <c r="G17" s="26"/>
      <c r="H17" s="26"/>
      <c r="I17" s="26"/>
      <c r="J17" s="43"/>
    </row>
    <row r="18" spans="1:18" ht="24" customHeight="1" x14ac:dyDescent="0.25">
      <c r="A18" s="24" t="s">
        <v>35</v>
      </c>
      <c r="B18" s="29" t="s">
        <v>36</v>
      </c>
      <c r="C18" s="26"/>
      <c r="D18" s="26"/>
      <c r="E18" s="26"/>
      <c r="F18" s="26"/>
      <c r="G18" s="26"/>
      <c r="H18" s="26"/>
      <c r="I18" s="26"/>
      <c r="J18" s="43"/>
    </row>
    <row r="19" spans="1:18" ht="10.5" customHeight="1" x14ac:dyDescent="0.25">
      <c r="A19" s="24" t="s">
        <v>37</v>
      </c>
      <c r="B19" s="27" t="s">
        <v>38</v>
      </c>
      <c r="C19" s="26"/>
      <c r="D19" s="26"/>
      <c r="E19" s="26"/>
      <c r="F19" s="26"/>
      <c r="G19" s="26"/>
      <c r="H19" s="26"/>
      <c r="I19" s="26"/>
      <c r="J19" s="43"/>
    </row>
    <row r="20" spans="1:18" ht="12.75" customHeight="1" x14ac:dyDescent="0.25">
      <c r="A20" s="24" t="s">
        <v>39</v>
      </c>
      <c r="B20" s="27" t="s">
        <v>40</v>
      </c>
      <c r="C20" s="26"/>
      <c r="D20" s="26"/>
      <c r="E20" s="26"/>
      <c r="F20" s="26"/>
      <c r="G20" s="26"/>
      <c r="H20" s="26"/>
      <c r="I20" s="26"/>
      <c r="J20" s="43"/>
    </row>
    <row r="21" spans="1:18" ht="12" customHeight="1" x14ac:dyDescent="0.25">
      <c r="A21" s="24" t="s">
        <v>41</v>
      </c>
      <c r="B21" s="27" t="s">
        <v>42</v>
      </c>
      <c r="C21" s="26"/>
      <c r="D21" s="26"/>
      <c r="E21" s="26"/>
      <c r="F21" s="26"/>
      <c r="G21" s="26"/>
      <c r="H21" s="26"/>
      <c r="I21" s="26"/>
      <c r="J21" s="43"/>
    </row>
    <row r="22" spans="1:18" ht="11.25" customHeight="1" x14ac:dyDescent="0.25">
      <c r="A22" s="24" t="s">
        <v>43</v>
      </c>
      <c r="B22" s="27" t="s">
        <v>44</v>
      </c>
      <c r="C22" s="26"/>
      <c r="D22" s="26"/>
      <c r="E22" s="26"/>
      <c r="F22" s="26"/>
      <c r="G22" s="26"/>
      <c r="H22" s="26"/>
      <c r="I22" s="26"/>
      <c r="J22" s="43"/>
    </row>
    <row r="23" spans="1:18" ht="12.75" customHeight="1" x14ac:dyDescent="0.25">
      <c r="A23" s="24" t="s">
        <v>45</v>
      </c>
      <c r="B23" s="27" t="s">
        <v>46</v>
      </c>
      <c r="C23" s="26"/>
      <c r="D23" s="26"/>
      <c r="E23" s="26"/>
      <c r="F23" s="26"/>
      <c r="G23" s="26"/>
      <c r="H23" s="26"/>
      <c r="I23" s="26"/>
      <c r="J23" s="43"/>
    </row>
    <row r="24" spans="1:18" ht="12" customHeight="1" x14ac:dyDescent="0.25">
      <c r="A24" s="24" t="s">
        <v>47</v>
      </c>
      <c r="B24" s="27" t="s">
        <v>48</v>
      </c>
      <c r="C24" s="26"/>
      <c r="D24" s="26"/>
      <c r="E24" s="26"/>
      <c r="F24" s="26"/>
      <c r="G24" s="26"/>
      <c r="H24" s="26"/>
      <c r="I24" s="26"/>
      <c r="J24" s="43"/>
    </row>
    <row r="25" spans="1:18" ht="11.25" customHeight="1" x14ac:dyDescent="0.25">
      <c r="A25" s="24" t="s">
        <v>49</v>
      </c>
      <c r="B25" s="27" t="s">
        <v>50</v>
      </c>
      <c r="C25" s="26"/>
      <c r="D25" s="26"/>
      <c r="E25" s="26"/>
      <c r="F25" s="26"/>
      <c r="G25" s="26"/>
      <c r="H25" s="26"/>
      <c r="I25" s="26"/>
      <c r="J25" s="43"/>
    </row>
    <row r="26" spans="1:18" ht="12" customHeight="1" x14ac:dyDescent="0.25">
      <c r="A26" s="24" t="s">
        <v>51</v>
      </c>
      <c r="B26" s="27" t="s">
        <v>52</v>
      </c>
      <c r="C26" s="26"/>
      <c r="D26" s="26"/>
      <c r="E26" s="26"/>
      <c r="F26" s="26"/>
      <c r="G26" s="26"/>
      <c r="H26" s="26"/>
      <c r="I26" s="26"/>
      <c r="J26" s="43"/>
      <c r="R26" s="40"/>
    </row>
    <row r="27" spans="1:18" ht="12" customHeight="1" x14ac:dyDescent="0.25">
      <c r="A27" s="24" t="s">
        <v>53</v>
      </c>
      <c r="B27" s="27" t="s">
        <v>54</v>
      </c>
      <c r="C27" s="26"/>
      <c r="D27" s="26"/>
      <c r="E27" s="26"/>
      <c r="F27" s="26"/>
      <c r="G27" s="26"/>
      <c r="H27" s="26"/>
      <c r="I27" s="26"/>
      <c r="J27" s="43"/>
    </row>
    <row r="28" spans="1:18" ht="12" customHeight="1" x14ac:dyDescent="0.25">
      <c r="A28" s="24" t="s">
        <v>55</v>
      </c>
      <c r="B28" s="27" t="s">
        <v>56</v>
      </c>
      <c r="C28" s="26"/>
      <c r="D28" s="26"/>
      <c r="E28" s="26"/>
      <c r="F28" s="26"/>
      <c r="G28" s="26"/>
      <c r="H28" s="26"/>
      <c r="I28" s="26"/>
      <c r="J28" s="43"/>
    </row>
    <row r="29" spans="1:18" ht="12" customHeight="1" x14ac:dyDescent="0.25">
      <c r="A29" s="24" t="s">
        <v>57</v>
      </c>
      <c r="B29" s="27" t="s">
        <v>58</v>
      </c>
      <c r="C29" s="26"/>
      <c r="D29" s="26"/>
      <c r="E29" s="26"/>
      <c r="F29" s="26"/>
      <c r="G29" s="26"/>
      <c r="H29" s="26"/>
      <c r="I29" s="26"/>
      <c r="J29" s="43"/>
    </row>
    <row r="30" spans="1:18" ht="12.75" customHeight="1" x14ac:dyDescent="0.25">
      <c r="A30" s="24" t="s">
        <v>59</v>
      </c>
      <c r="B30" s="29" t="s">
        <v>60</v>
      </c>
      <c r="C30" s="26"/>
      <c r="D30" s="26"/>
      <c r="E30" s="26"/>
      <c r="F30" s="26"/>
      <c r="G30" s="26"/>
      <c r="H30" s="26"/>
      <c r="I30" s="26"/>
      <c r="J30" s="43"/>
    </row>
    <row r="31" spans="1:18" ht="11.25" customHeight="1" x14ac:dyDescent="0.25">
      <c r="A31" s="24" t="s">
        <v>61</v>
      </c>
      <c r="B31" s="27" t="s">
        <v>62</v>
      </c>
      <c r="C31" s="26"/>
      <c r="D31" s="26"/>
      <c r="E31" s="26"/>
      <c r="F31" s="26"/>
      <c r="G31" s="26"/>
      <c r="H31" s="26"/>
      <c r="I31" s="26"/>
      <c r="J31" s="43"/>
    </row>
    <row r="32" spans="1:18" ht="12" customHeight="1" x14ac:dyDescent="0.25">
      <c r="A32" s="24" t="s">
        <v>63</v>
      </c>
      <c r="B32" s="27" t="s">
        <v>64</v>
      </c>
      <c r="C32" s="26"/>
      <c r="D32" s="26"/>
      <c r="E32" s="26"/>
      <c r="F32" s="26"/>
      <c r="G32" s="26"/>
      <c r="H32" s="26"/>
      <c r="I32" s="26"/>
      <c r="J32" s="43"/>
    </row>
    <row r="33" spans="1:10" x14ac:dyDescent="0.25">
      <c r="A33" s="33" t="s">
        <v>4</v>
      </c>
      <c r="B33" s="34" t="s">
        <v>65</v>
      </c>
      <c r="C33" s="35">
        <f>27+2+28+38+38+30+53+30+10+6+18</f>
        <v>280</v>
      </c>
      <c r="D33" s="35"/>
      <c r="E33" s="35"/>
      <c r="F33" s="35"/>
      <c r="G33" s="32"/>
      <c r="H33" s="32"/>
      <c r="I33" s="32"/>
      <c r="J33" s="43"/>
    </row>
    <row r="34" spans="1:10" x14ac:dyDescent="0.25">
      <c r="A34" s="5"/>
      <c r="B34" s="36" t="s">
        <v>3</v>
      </c>
      <c r="C34" s="37"/>
      <c r="D34" s="38"/>
      <c r="E34" s="38"/>
      <c r="F34" s="38"/>
      <c r="G34" s="35"/>
      <c r="H34" s="35"/>
      <c r="I34" s="35"/>
      <c r="J34" s="43"/>
    </row>
    <row r="35" spans="1:10" x14ac:dyDescent="0.25">
      <c r="A35" s="5"/>
      <c r="B35" s="36" t="s">
        <v>66</v>
      </c>
      <c r="C35" s="39">
        <f>7+2+17+29+25+28+33+30+10+6+13</f>
        <v>200</v>
      </c>
      <c r="D35" s="38"/>
      <c r="E35" s="38"/>
      <c r="F35" s="38"/>
      <c r="G35" s="38"/>
      <c r="H35" s="38"/>
      <c r="I35" s="38"/>
      <c r="J35" s="43"/>
    </row>
    <row r="36" spans="1:10" x14ac:dyDescent="0.25">
      <c r="A36" s="5"/>
      <c r="B36" s="36" t="s">
        <v>67</v>
      </c>
      <c r="C36" s="39">
        <f>20+0+11+9+13+2+20+0+0+0+5</f>
        <v>80</v>
      </c>
      <c r="D36" s="38"/>
      <c r="E36" s="38"/>
      <c r="F36" s="38"/>
      <c r="G36" s="38"/>
      <c r="H36" s="38"/>
      <c r="I36" s="38"/>
      <c r="J36" s="43"/>
    </row>
    <row r="37" spans="1:10" x14ac:dyDescent="0.25">
      <c r="A37" s="43"/>
      <c r="B37" s="43"/>
      <c r="C37" s="43"/>
      <c r="D37" s="43"/>
      <c r="E37" s="43"/>
      <c r="F37" s="43"/>
      <c r="G37" s="38"/>
      <c r="H37" s="38"/>
      <c r="I37" s="38"/>
      <c r="J37" s="43"/>
    </row>
    <row r="38" spans="1:10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</row>
  </sheetData>
  <pageMargins left="0.7" right="0.7" top="0.75" bottom="0.75" header="0.3" footer="0.3"/>
  <pageSetup paperSize="9" orientation="landscape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16" workbookViewId="0">
      <selection activeCell="I39" sqref="I39"/>
    </sheetView>
  </sheetViews>
  <sheetFormatPr defaultRowHeight="15" x14ac:dyDescent="0.25"/>
  <cols>
    <col min="1" max="1" width="5.140625" customWidth="1"/>
    <col min="2" max="2" width="39.140625" customWidth="1"/>
    <col min="3" max="3" width="12" customWidth="1"/>
    <col min="4" max="5" width="11.5703125" customWidth="1"/>
    <col min="6" max="6" width="12.42578125" customWidth="1"/>
    <col min="7" max="7" width="13.140625" customWidth="1"/>
    <col min="8" max="8" width="12.28515625" customWidth="1"/>
    <col min="9" max="9" width="12.140625" customWidth="1"/>
    <col min="10" max="10" width="14.85546875" customWidth="1"/>
  </cols>
  <sheetData>
    <row r="1" spans="1:9" x14ac:dyDescent="0.25">
      <c r="A1" s="1" t="s">
        <v>0</v>
      </c>
      <c r="B1" s="2"/>
      <c r="C1" s="3"/>
      <c r="D1" s="3"/>
      <c r="E1" s="3"/>
      <c r="F1" s="4"/>
      <c r="G1" s="3"/>
      <c r="H1" s="3"/>
      <c r="I1" s="4"/>
    </row>
    <row r="2" spans="1:9" ht="12" customHeight="1" x14ac:dyDescent="0.25">
      <c r="A2" s="5"/>
      <c r="B2" s="6" t="s">
        <v>73</v>
      </c>
      <c r="C2" s="3"/>
      <c r="D2" s="3"/>
      <c r="E2" s="3"/>
      <c r="F2" s="4"/>
      <c r="G2" s="3"/>
      <c r="H2" s="3"/>
      <c r="I2" s="4"/>
    </row>
    <row r="3" spans="1:9" hidden="1" x14ac:dyDescent="0.25">
      <c r="A3" s="7"/>
      <c r="B3" s="2"/>
      <c r="C3" s="3"/>
      <c r="D3" s="3"/>
      <c r="E3" s="3"/>
      <c r="F3" s="4"/>
      <c r="G3" s="3"/>
      <c r="H3" s="3"/>
      <c r="I3" s="4"/>
    </row>
    <row r="4" spans="1:9" ht="14.25" customHeigh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</row>
    <row r="5" spans="1:9" hidden="1" x14ac:dyDescent="0.25">
      <c r="A5" s="9"/>
      <c r="B5" s="9"/>
      <c r="C5" s="9"/>
      <c r="D5" s="9"/>
      <c r="E5" s="9"/>
      <c r="F5" s="9"/>
      <c r="G5" s="9"/>
      <c r="H5" s="9"/>
      <c r="I5" s="9"/>
    </row>
    <row r="6" spans="1:9" x14ac:dyDescent="0.25">
      <c r="A6" s="10" t="s">
        <v>2</v>
      </c>
      <c r="B6" s="11"/>
      <c r="C6" s="11"/>
      <c r="D6" s="12" t="s">
        <v>3</v>
      </c>
      <c r="E6" s="13"/>
      <c r="F6" s="14"/>
      <c r="G6" s="13"/>
      <c r="H6" s="13"/>
      <c r="I6" s="15"/>
    </row>
    <row r="7" spans="1:9" x14ac:dyDescent="0.25">
      <c r="A7" s="16" t="s">
        <v>4</v>
      </c>
      <c r="B7" s="17" t="s">
        <v>5</v>
      </c>
      <c r="C7" s="18" t="s">
        <v>6</v>
      </c>
      <c r="D7" s="19" t="s">
        <v>7</v>
      </c>
      <c r="E7" s="20"/>
      <c r="F7" s="20"/>
      <c r="G7" s="21" t="s">
        <v>8</v>
      </c>
      <c r="H7" s="20"/>
      <c r="I7" s="20"/>
    </row>
    <row r="8" spans="1:9" x14ac:dyDescent="0.25">
      <c r="A8" s="22" t="s">
        <v>9</v>
      </c>
      <c r="B8" s="23"/>
      <c r="C8" s="23"/>
      <c r="D8" s="24" t="s">
        <v>10</v>
      </c>
      <c r="E8" s="24" t="s">
        <v>11</v>
      </c>
      <c r="F8" s="24" t="s">
        <v>12</v>
      </c>
      <c r="G8" s="24" t="s">
        <v>13</v>
      </c>
      <c r="H8" s="24" t="s">
        <v>11</v>
      </c>
      <c r="I8" s="24" t="s">
        <v>12</v>
      </c>
    </row>
    <row r="9" spans="1:9" ht="22.5" customHeight="1" x14ac:dyDescent="0.25">
      <c r="A9" s="24">
        <v>0</v>
      </c>
      <c r="B9" s="25" t="s">
        <v>14</v>
      </c>
      <c r="C9" s="26">
        <f>2964+3685+3878+10351+4436+3660+6638+4596+4732+1671+5418+4449</f>
        <v>56478</v>
      </c>
      <c r="D9" s="26"/>
      <c r="E9" s="26"/>
      <c r="F9" s="26"/>
      <c r="G9" s="26"/>
      <c r="H9" s="26"/>
      <c r="I9" s="26">
        <f>2964+3685+3878+10351+4436+3660+6638+4596+4732+1671+5418+4449</f>
        <v>56478</v>
      </c>
    </row>
    <row r="10" spans="1:9" ht="12" customHeight="1" x14ac:dyDescent="0.25">
      <c r="A10" s="24" t="s">
        <v>15</v>
      </c>
      <c r="B10" s="27" t="s">
        <v>16</v>
      </c>
      <c r="C10" s="26"/>
      <c r="D10" s="26"/>
      <c r="E10" s="26"/>
      <c r="F10" s="26"/>
      <c r="G10" s="26"/>
      <c r="H10" s="26"/>
      <c r="I10" s="26"/>
    </row>
    <row r="11" spans="1:9" x14ac:dyDescent="0.25">
      <c r="A11" s="24" t="s">
        <v>17</v>
      </c>
      <c r="B11" s="28" t="s">
        <v>18</v>
      </c>
      <c r="C11" s="26"/>
      <c r="D11" s="26"/>
      <c r="E11" s="26"/>
      <c r="F11" s="26"/>
      <c r="G11" s="26"/>
      <c r="H11" s="26"/>
      <c r="I11" s="26"/>
    </row>
    <row r="12" spans="1:9" x14ac:dyDescent="0.25">
      <c r="A12" s="24" t="s">
        <v>19</v>
      </c>
      <c r="B12" s="27" t="s">
        <v>20</v>
      </c>
      <c r="C12" s="26"/>
      <c r="D12" s="26"/>
      <c r="E12" s="26"/>
      <c r="F12" s="26"/>
      <c r="G12" s="26"/>
      <c r="H12" s="26"/>
      <c r="I12" s="26"/>
    </row>
    <row r="13" spans="1:9" x14ac:dyDescent="0.25">
      <c r="A13" s="24" t="s">
        <v>21</v>
      </c>
      <c r="B13" s="29" t="s">
        <v>22</v>
      </c>
      <c r="C13" s="26"/>
      <c r="D13" s="26"/>
      <c r="E13" s="26"/>
      <c r="F13" s="26"/>
      <c r="G13" s="26"/>
      <c r="H13" s="26"/>
      <c r="I13" s="26"/>
    </row>
    <row r="14" spans="1:9" x14ac:dyDescent="0.25">
      <c r="A14" s="24" t="s">
        <v>23</v>
      </c>
      <c r="B14" s="27" t="s">
        <v>24</v>
      </c>
      <c r="C14" s="26"/>
      <c r="D14" s="26"/>
      <c r="E14" s="26"/>
      <c r="F14" s="26"/>
      <c r="G14" s="26"/>
      <c r="H14" s="26"/>
      <c r="I14" s="26"/>
    </row>
    <row r="15" spans="1:9" x14ac:dyDescent="0.25">
      <c r="A15" s="24" t="s">
        <v>25</v>
      </c>
      <c r="B15" s="27" t="s">
        <v>26</v>
      </c>
      <c r="C15" s="26">
        <f>2964+2435+2678+2440+1936+2410+1638+2198+2332+1671+2988+2049</f>
        <v>27739</v>
      </c>
      <c r="D15" s="26"/>
      <c r="E15" s="26"/>
      <c r="F15" s="26"/>
      <c r="G15" s="26"/>
      <c r="H15" s="26"/>
      <c r="I15" s="26">
        <f>2964+2435+2678+2440+1936+2410+1638+2198+2332+1671+2988+2049</f>
        <v>27739</v>
      </c>
    </row>
    <row r="16" spans="1:9" x14ac:dyDescent="0.25">
      <c r="A16" s="24" t="s">
        <v>27</v>
      </c>
      <c r="B16" s="29" t="s">
        <v>28</v>
      </c>
      <c r="C16" s="26"/>
      <c r="D16" s="26"/>
      <c r="E16" s="26"/>
      <c r="F16" s="26"/>
      <c r="G16" s="26"/>
      <c r="H16" s="26"/>
      <c r="I16" s="26"/>
    </row>
    <row r="17" spans="1:9" ht="21.75" customHeight="1" x14ac:dyDescent="0.25">
      <c r="A17" s="24" t="s">
        <v>29</v>
      </c>
      <c r="B17" s="27" t="s">
        <v>30</v>
      </c>
      <c r="C17" s="26">
        <f>1250+1200+7911+2500+1250+5000+2398+2400+2430+2400</f>
        <v>28739</v>
      </c>
      <c r="D17" s="26"/>
      <c r="E17" s="26"/>
      <c r="F17" s="26"/>
      <c r="G17" s="26"/>
      <c r="H17" s="26"/>
      <c r="I17" s="26">
        <f>1250+1200+7911+2500+1250+5000+2398+2400+2430+2400</f>
        <v>28739</v>
      </c>
    </row>
    <row r="18" spans="1:9" ht="13.5" customHeight="1" x14ac:dyDescent="0.25">
      <c r="A18" s="24" t="s">
        <v>31</v>
      </c>
      <c r="B18" s="27" t="s">
        <v>32</v>
      </c>
      <c r="C18" s="26"/>
      <c r="D18" s="26"/>
      <c r="E18" s="26"/>
      <c r="F18" s="26"/>
      <c r="G18" s="26"/>
      <c r="H18" s="26"/>
      <c r="I18" s="26"/>
    </row>
    <row r="19" spans="1:9" ht="11.25" customHeight="1" x14ac:dyDescent="0.25">
      <c r="A19" s="24" t="s">
        <v>33</v>
      </c>
      <c r="B19" s="27" t="s">
        <v>34</v>
      </c>
      <c r="C19" s="26"/>
      <c r="D19" s="26"/>
      <c r="E19" s="26"/>
      <c r="F19" s="26"/>
      <c r="G19" s="26"/>
      <c r="H19" s="26"/>
      <c r="I19" s="26"/>
    </row>
    <row r="20" spans="1:9" ht="24" customHeight="1" x14ac:dyDescent="0.25">
      <c r="A20" s="24" t="s">
        <v>35</v>
      </c>
      <c r="B20" s="29" t="s">
        <v>36</v>
      </c>
      <c r="C20" s="26"/>
      <c r="D20" s="26"/>
      <c r="E20" s="26"/>
      <c r="F20" s="26"/>
      <c r="G20" s="26"/>
      <c r="H20" s="26"/>
      <c r="I20" s="26"/>
    </row>
    <row r="21" spans="1:9" x14ac:dyDescent="0.25">
      <c r="A21" s="24" t="s">
        <v>37</v>
      </c>
      <c r="B21" s="27" t="s">
        <v>38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24" t="s">
        <v>39</v>
      </c>
      <c r="B22" s="27" t="s">
        <v>40</v>
      </c>
      <c r="C22" s="26"/>
      <c r="D22" s="26"/>
      <c r="E22" s="26"/>
      <c r="F22" s="26"/>
      <c r="G22" s="26"/>
      <c r="H22" s="26"/>
      <c r="I22" s="26"/>
    </row>
    <row r="23" spans="1:9" ht="12.75" customHeight="1" x14ac:dyDescent="0.25">
      <c r="A23" s="24" t="s">
        <v>41</v>
      </c>
      <c r="B23" s="27" t="s">
        <v>42</v>
      </c>
      <c r="C23" s="26"/>
      <c r="D23" s="26"/>
      <c r="E23" s="26"/>
      <c r="F23" s="26"/>
      <c r="G23" s="26"/>
      <c r="H23" s="26"/>
      <c r="I23" s="26"/>
    </row>
    <row r="24" spans="1:9" ht="13.5" customHeight="1" x14ac:dyDescent="0.25">
      <c r="A24" s="24" t="s">
        <v>43</v>
      </c>
      <c r="B24" s="27" t="s">
        <v>44</v>
      </c>
      <c r="C24" s="26"/>
      <c r="D24" s="26"/>
      <c r="E24" s="26"/>
      <c r="F24" s="26"/>
      <c r="G24" s="26"/>
      <c r="H24" s="26"/>
      <c r="I24" s="26"/>
    </row>
    <row r="25" spans="1:9" ht="12.75" customHeight="1" x14ac:dyDescent="0.25">
      <c r="A25" s="24" t="s">
        <v>45</v>
      </c>
      <c r="B25" s="27" t="s">
        <v>46</v>
      </c>
      <c r="C25" s="26"/>
      <c r="D25" s="26"/>
      <c r="E25" s="26"/>
      <c r="F25" s="26"/>
      <c r="G25" s="26"/>
      <c r="H25" s="26"/>
      <c r="I25" s="26"/>
    </row>
    <row r="26" spans="1:9" ht="11.25" customHeight="1" x14ac:dyDescent="0.25">
      <c r="A26" s="24" t="s">
        <v>47</v>
      </c>
      <c r="B26" s="27" t="s">
        <v>48</v>
      </c>
      <c r="C26" s="26"/>
      <c r="D26" s="26"/>
      <c r="E26" s="26"/>
      <c r="F26" s="26"/>
      <c r="G26" s="26"/>
      <c r="H26" s="26"/>
      <c r="I26" s="26"/>
    </row>
    <row r="27" spans="1:9" ht="13.5" customHeight="1" x14ac:dyDescent="0.25">
      <c r="A27" s="24" t="s">
        <v>49</v>
      </c>
      <c r="B27" s="27" t="s">
        <v>50</v>
      </c>
      <c r="C27" s="26"/>
      <c r="D27" s="26"/>
      <c r="E27" s="26"/>
      <c r="F27" s="26"/>
      <c r="G27" s="26"/>
      <c r="H27" s="26"/>
      <c r="I27" s="26"/>
    </row>
    <row r="28" spans="1:9" ht="14.25" customHeight="1" x14ac:dyDescent="0.25">
      <c r="A28" s="24" t="s">
        <v>51</v>
      </c>
      <c r="B28" s="27" t="s">
        <v>52</v>
      </c>
      <c r="C28" s="26"/>
      <c r="D28" s="26"/>
      <c r="E28" s="26"/>
      <c r="F28" s="26"/>
      <c r="G28" s="26"/>
      <c r="H28" s="26"/>
      <c r="I28" s="26"/>
    </row>
    <row r="29" spans="1:9" ht="13.5" customHeight="1" x14ac:dyDescent="0.25">
      <c r="A29" s="24" t="s">
        <v>53</v>
      </c>
      <c r="B29" s="27" t="s">
        <v>54</v>
      </c>
      <c r="C29" s="26"/>
      <c r="D29" s="26"/>
      <c r="E29" s="26"/>
      <c r="F29" s="26"/>
      <c r="G29" s="26"/>
      <c r="H29" s="26"/>
      <c r="I29" s="26"/>
    </row>
    <row r="30" spans="1:9" ht="11.25" customHeight="1" x14ac:dyDescent="0.25">
      <c r="A30" s="24" t="s">
        <v>55</v>
      </c>
      <c r="B30" s="27" t="s">
        <v>56</v>
      </c>
      <c r="C30" s="26"/>
      <c r="D30" s="26"/>
      <c r="E30" s="26"/>
      <c r="F30" s="26"/>
      <c r="G30" s="26"/>
      <c r="H30" s="26"/>
      <c r="I30" s="26"/>
    </row>
    <row r="31" spans="1:9" ht="13.5" customHeight="1" x14ac:dyDescent="0.25">
      <c r="A31" s="24" t="s">
        <v>57</v>
      </c>
      <c r="B31" s="27" t="s">
        <v>58</v>
      </c>
      <c r="C31" s="26"/>
      <c r="D31" s="26"/>
      <c r="E31" s="26"/>
      <c r="F31" s="26"/>
      <c r="G31" s="26"/>
      <c r="H31" s="26"/>
      <c r="I31" s="26"/>
    </row>
    <row r="32" spans="1:9" ht="12" customHeight="1" x14ac:dyDescent="0.25">
      <c r="A32" s="24" t="s">
        <v>59</v>
      </c>
      <c r="B32" s="29" t="s">
        <v>60</v>
      </c>
      <c r="C32" s="26"/>
      <c r="D32" s="26"/>
      <c r="E32" s="26"/>
      <c r="F32" s="26"/>
      <c r="G32" s="26"/>
      <c r="H32" s="26"/>
      <c r="I32" s="26"/>
    </row>
    <row r="33" spans="1:9" ht="12.75" customHeight="1" x14ac:dyDescent="0.25">
      <c r="A33" s="24" t="s">
        <v>61</v>
      </c>
      <c r="B33" s="27" t="s">
        <v>62</v>
      </c>
      <c r="C33" s="26"/>
      <c r="D33" s="26"/>
      <c r="E33" s="26"/>
      <c r="F33" s="26"/>
      <c r="G33" s="26"/>
      <c r="H33" s="26"/>
      <c r="I33" s="26"/>
    </row>
    <row r="34" spans="1:9" ht="9.75" customHeight="1" x14ac:dyDescent="0.25">
      <c r="A34" s="24" t="s">
        <v>63</v>
      </c>
      <c r="B34" s="27" t="s">
        <v>64</v>
      </c>
      <c r="C34" s="26"/>
      <c r="D34" s="26"/>
      <c r="E34" s="26"/>
      <c r="F34" s="26"/>
      <c r="G34" s="26"/>
      <c r="H34" s="26"/>
      <c r="I34" s="26"/>
    </row>
    <row r="35" spans="1:9" x14ac:dyDescent="0.25">
      <c r="A35" s="33" t="s">
        <v>4</v>
      </c>
      <c r="B35" s="34" t="s">
        <v>65</v>
      </c>
      <c r="C35" s="35">
        <f>8+7+8+12+7+6+6+6+7+7+10+8</f>
        <v>92</v>
      </c>
      <c r="D35" s="35"/>
      <c r="E35" s="35"/>
      <c r="F35" s="35"/>
      <c r="G35" s="35"/>
      <c r="H35" s="35"/>
      <c r="I35" s="35"/>
    </row>
    <row r="36" spans="1:9" x14ac:dyDescent="0.25">
      <c r="A36" s="5"/>
      <c r="B36" s="36" t="s">
        <v>3</v>
      </c>
      <c r="C36" s="37"/>
      <c r="D36" s="38"/>
      <c r="E36" s="38"/>
      <c r="F36" s="38"/>
      <c r="G36" s="38"/>
      <c r="H36" s="38"/>
      <c r="I36" s="38"/>
    </row>
    <row r="37" spans="1:9" x14ac:dyDescent="0.25">
      <c r="A37" s="5"/>
      <c r="B37" s="36" t="s">
        <v>66</v>
      </c>
      <c r="C37" s="39">
        <f>8+7+8+12+7+6+6+6+7+7+10+8</f>
        <v>92</v>
      </c>
      <c r="D37" s="38"/>
      <c r="E37" s="38"/>
      <c r="F37" s="38"/>
      <c r="G37" s="38"/>
      <c r="H37" s="38"/>
      <c r="I37" s="38"/>
    </row>
    <row r="38" spans="1:9" x14ac:dyDescent="0.25">
      <c r="A38" s="5"/>
      <c r="B38" s="36" t="s">
        <v>67</v>
      </c>
      <c r="C38" s="39">
        <f>0+0+0+0+0+0+0+0</f>
        <v>0</v>
      </c>
      <c r="D38" s="38"/>
      <c r="E38" s="38"/>
      <c r="F38" s="38"/>
      <c r="G38" s="38"/>
      <c r="H38" s="38"/>
      <c r="I38" s="38"/>
    </row>
  </sheetData>
  <pageMargins left="0.7" right="0.7" top="0.75" bottom="0.75" header="0.3" footer="0.3"/>
  <pageSetup paperSize="9" scale="90" orientation="landscape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64C03-F951-4C6D-9731-B84EEE80BAA4}">
  <dimension ref="A1:I37"/>
  <sheetViews>
    <sheetView topLeftCell="A19" workbookViewId="0">
      <selection activeCell="G37" sqref="G37"/>
    </sheetView>
  </sheetViews>
  <sheetFormatPr defaultRowHeight="15" x14ac:dyDescent="0.25"/>
  <cols>
    <col min="2" max="2" width="52.85546875" bestFit="1" customWidth="1"/>
  </cols>
  <sheetData>
    <row r="1" spans="1:9" x14ac:dyDescent="0.25">
      <c r="A1" s="33" t="s">
        <v>0</v>
      </c>
      <c r="B1" s="3"/>
      <c r="C1" s="3"/>
      <c r="D1" s="3"/>
      <c r="E1" s="3"/>
      <c r="F1" s="4"/>
      <c r="G1" s="3"/>
      <c r="H1" s="3"/>
      <c r="I1" s="146"/>
    </row>
    <row r="2" spans="1:9" ht="13.5" customHeight="1" x14ac:dyDescent="0.25">
      <c r="A2" s="5"/>
      <c r="B2" s="147" t="s">
        <v>85</v>
      </c>
      <c r="C2" s="3"/>
      <c r="D2" s="3"/>
      <c r="E2" s="3"/>
      <c r="F2" s="4"/>
      <c r="G2" s="3"/>
      <c r="H2" s="3"/>
      <c r="I2" s="146"/>
    </row>
    <row r="3" spans="1:9" ht="12.75" customHeight="1" x14ac:dyDescent="0.25">
      <c r="A3" s="8" t="s">
        <v>1</v>
      </c>
      <c r="B3" s="8"/>
      <c r="C3" s="148"/>
      <c r="D3" s="8"/>
      <c r="E3" s="8"/>
      <c r="F3" s="8"/>
      <c r="G3" s="8"/>
      <c r="H3" s="8"/>
      <c r="I3" s="149"/>
    </row>
    <row r="4" spans="1:9" ht="10.5" customHeight="1" x14ac:dyDescent="0.25"/>
    <row r="5" spans="1:9" ht="11.25" customHeight="1" x14ac:dyDescent="0.25">
      <c r="A5" s="10" t="s">
        <v>2</v>
      </c>
      <c r="B5" s="11"/>
      <c r="C5" s="11"/>
      <c r="D5" s="12" t="s">
        <v>3</v>
      </c>
      <c r="E5" s="13"/>
      <c r="F5" s="14"/>
      <c r="G5" s="13"/>
      <c r="H5" s="13"/>
      <c r="I5" s="15"/>
    </row>
    <row r="6" spans="1:9" ht="10.5" customHeight="1" x14ac:dyDescent="0.25">
      <c r="A6" s="150" t="s">
        <v>4</v>
      </c>
      <c r="B6" s="151" t="s">
        <v>5</v>
      </c>
      <c r="C6" s="152" t="s">
        <v>6</v>
      </c>
      <c r="D6" s="153" t="s">
        <v>7</v>
      </c>
      <c r="E6" s="154"/>
      <c r="F6" s="154"/>
      <c r="G6" s="155" t="s">
        <v>8</v>
      </c>
      <c r="H6" s="154"/>
      <c r="I6" s="154"/>
    </row>
    <row r="7" spans="1:9" ht="11.25" customHeight="1" x14ac:dyDescent="0.25">
      <c r="A7" s="156" t="s">
        <v>9</v>
      </c>
      <c r="B7" s="157"/>
      <c r="C7" s="157"/>
      <c r="D7" s="156" t="s">
        <v>10</v>
      </c>
      <c r="E7" s="156" t="s">
        <v>11</v>
      </c>
      <c r="F7" s="156" t="s">
        <v>12</v>
      </c>
      <c r="G7" s="156" t="s">
        <v>13</v>
      </c>
      <c r="H7" s="156" t="s">
        <v>11</v>
      </c>
      <c r="I7" s="156" t="s">
        <v>12</v>
      </c>
    </row>
    <row r="8" spans="1:9" ht="12.75" customHeight="1" x14ac:dyDescent="0.25">
      <c r="A8" s="156">
        <v>0</v>
      </c>
      <c r="B8" s="158" t="s">
        <v>14</v>
      </c>
      <c r="C8" s="159">
        <f>56478+107055+254646+495626+176164+1008926+279625+191320+298413+420645+128182+81291</f>
        <v>3498371</v>
      </c>
      <c r="D8" s="160">
        <f>38695+44424+17957+197159+6484</f>
        <v>304719</v>
      </c>
      <c r="E8" s="159">
        <f>800+307875+55945</f>
        <v>364620</v>
      </c>
      <c r="F8" s="159">
        <f>88177+219042+179256+188316+267570+32867+19791+54776</f>
        <v>1049795</v>
      </c>
      <c r="G8" s="159">
        <f>54662+447467+3004+12386+190619+107720+20031</f>
        <v>835889</v>
      </c>
      <c r="H8" s="159">
        <f>107055+253846+187751</f>
        <v>548652</v>
      </c>
      <c r="I8" s="159">
        <f>56478+33325+303722+500+671</f>
        <v>394696</v>
      </c>
    </row>
    <row r="9" spans="1:9" ht="12" customHeight="1" x14ac:dyDescent="0.25">
      <c r="A9" s="156" t="s">
        <v>15</v>
      </c>
      <c r="B9" s="161" t="s">
        <v>16</v>
      </c>
      <c r="C9" s="159">
        <f>307875+110261+227987+279625+186999+286529+2892+54210</f>
        <v>1456378</v>
      </c>
      <c r="D9" s="159">
        <f>16087+44424+17957+1996</f>
        <v>80464</v>
      </c>
      <c r="E9" s="159">
        <f>307875+55945</f>
        <v>363820</v>
      </c>
      <c r="F9" s="159">
        <f>88177+195015+179256+186999+267570+2892+52214</f>
        <v>972123</v>
      </c>
      <c r="G9" s="159">
        <f>22084+3163+1002</f>
        <v>26249</v>
      </c>
      <c r="H9" s="159"/>
      <c r="I9" s="159">
        <f>13722</f>
        <v>13722</v>
      </c>
    </row>
    <row r="10" spans="1:9" ht="12" customHeight="1" x14ac:dyDescent="0.25">
      <c r="A10" s="156" t="s">
        <v>17</v>
      </c>
      <c r="B10" s="162" t="s">
        <v>18</v>
      </c>
      <c r="C10" s="159"/>
      <c r="D10" s="159"/>
      <c r="E10" s="159"/>
      <c r="F10" s="159"/>
      <c r="G10" s="159"/>
      <c r="H10" s="159"/>
      <c r="I10" s="159"/>
    </row>
    <row r="11" spans="1:9" ht="12" customHeight="1" x14ac:dyDescent="0.25">
      <c r="A11" s="156" t="s">
        <v>19</v>
      </c>
      <c r="B11" s="161" t="s">
        <v>20</v>
      </c>
      <c r="C11" s="159"/>
      <c r="D11" s="159"/>
      <c r="E11" s="159"/>
      <c r="F11" s="159"/>
      <c r="G11" s="159"/>
      <c r="H11" s="159"/>
      <c r="I11" s="159"/>
    </row>
    <row r="12" spans="1:9" ht="12" customHeight="1" x14ac:dyDescent="0.25">
      <c r="A12" s="156" t="s">
        <v>21</v>
      </c>
      <c r="B12" s="163" t="s">
        <v>22</v>
      </c>
      <c r="C12" s="159"/>
      <c r="D12" s="159"/>
      <c r="E12" s="159"/>
      <c r="F12" s="159"/>
      <c r="G12" s="159"/>
      <c r="H12" s="159"/>
      <c r="I12" s="159"/>
    </row>
    <row r="13" spans="1:9" ht="11.25" customHeight="1" x14ac:dyDescent="0.25">
      <c r="A13" s="156" t="s">
        <v>23</v>
      </c>
      <c r="B13" s="161" t="s">
        <v>24</v>
      </c>
      <c r="C13" s="159">
        <f>15214+6474</f>
        <v>21688</v>
      </c>
      <c r="D13" s="159">
        <f>2636+4488</f>
        <v>7124</v>
      </c>
      <c r="E13" s="159"/>
      <c r="F13" s="159">
        <f>12578+1986</f>
        <v>14564</v>
      </c>
      <c r="G13" s="159"/>
      <c r="H13" s="159"/>
      <c r="I13" s="159"/>
    </row>
    <row r="14" spans="1:9" ht="12" customHeight="1" x14ac:dyDescent="0.25">
      <c r="A14" s="156" t="s">
        <v>25</v>
      </c>
      <c r="B14" s="161" t="s">
        <v>26</v>
      </c>
      <c r="C14" s="159">
        <f>27739+11230+800+7960</f>
        <v>47729</v>
      </c>
      <c r="D14" s="159"/>
      <c r="E14" s="159">
        <f>800</f>
        <v>800</v>
      </c>
      <c r="F14" s="159"/>
      <c r="G14" s="159"/>
      <c r="H14" s="159">
        <f>11230+7960</f>
        <v>19190</v>
      </c>
      <c r="I14" s="159">
        <f>27739</f>
        <v>27739</v>
      </c>
    </row>
    <row r="15" spans="1:9" ht="13.5" customHeight="1" x14ac:dyDescent="0.25">
      <c r="A15" s="156" t="s">
        <v>27</v>
      </c>
      <c r="B15" s="163" t="s">
        <v>28</v>
      </c>
      <c r="C15" s="159">
        <f>12744+38803+194604+3004+11884+18239+69090+20031</f>
        <v>368399</v>
      </c>
      <c r="D15" s="159">
        <f>12818+1944</f>
        <v>14762</v>
      </c>
      <c r="E15" s="159"/>
      <c r="F15" s="159">
        <f>1012+1002</f>
        <v>2014</v>
      </c>
      <c r="G15" s="159">
        <f>31555+129556+2002+11384+16295+69090+20031</f>
        <v>279913</v>
      </c>
      <c r="H15" s="159">
        <f>12744</f>
        <v>12744</v>
      </c>
      <c r="I15" s="159">
        <f>7248+51218+500</f>
        <v>58966</v>
      </c>
    </row>
    <row r="16" spans="1:9" ht="10.5" customHeight="1" x14ac:dyDescent="0.25">
      <c r="A16" s="156" t="s">
        <v>29</v>
      </c>
      <c r="B16" s="161" t="s">
        <v>30</v>
      </c>
      <c r="C16" s="159">
        <f>28739+95825+253846+167047+26077+42856+27510</f>
        <v>641900</v>
      </c>
      <c r="D16" s="159"/>
      <c r="E16" s="159"/>
      <c r="F16" s="159"/>
      <c r="G16" s="159">
        <f>3813+27510</f>
        <v>31323</v>
      </c>
      <c r="H16" s="159">
        <f>95825+253846+167047</f>
        <v>516718</v>
      </c>
      <c r="I16" s="159">
        <f>28739+26077+39043</f>
        <v>93859</v>
      </c>
    </row>
    <row r="17" spans="1:9" ht="11.25" customHeight="1" x14ac:dyDescent="0.25">
      <c r="A17" s="156" t="s">
        <v>31</v>
      </c>
      <c r="B17" s="161" t="s">
        <v>32</v>
      </c>
      <c r="C17" s="159">
        <f>41540+16899+576</f>
        <v>59015</v>
      </c>
      <c r="D17" s="159">
        <f>8673</f>
        <v>8673</v>
      </c>
      <c r="E17" s="159"/>
      <c r="F17" s="159">
        <f>32867+16899+576</f>
        <v>50342</v>
      </c>
      <c r="G17" s="159"/>
      <c r="H17" s="159"/>
      <c r="I17" s="159"/>
    </row>
    <row r="18" spans="1:9" ht="11.25" customHeight="1" x14ac:dyDescent="0.25">
      <c r="A18" s="156" t="s">
        <v>33</v>
      </c>
      <c r="B18" s="161" t="s">
        <v>34</v>
      </c>
      <c r="C18" s="159">
        <f>9085</f>
        <v>9085</v>
      </c>
      <c r="D18" s="159"/>
      <c r="E18" s="159"/>
      <c r="F18" s="159"/>
      <c r="G18" s="159">
        <f>9085</f>
        <v>9085</v>
      </c>
      <c r="H18" s="159"/>
      <c r="I18" s="159"/>
    </row>
    <row r="19" spans="1:9" ht="27" x14ac:dyDescent="0.25">
      <c r="A19" s="156" t="s">
        <v>35</v>
      </c>
      <c r="B19" s="163" t="s">
        <v>36</v>
      </c>
      <c r="C19" s="159"/>
      <c r="D19" s="159"/>
      <c r="E19" s="159"/>
      <c r="F19" s="159"/>
      <c r="G19" s="159"/>
      <c r="H19" s="159"/>
      <c r="I19" s="159"/>
    </row>
    <row r="20" spans="1:9" ht="13.5" customHeight="1" x14ac:dyDescent="0.25">
      <c r="A20" s="156" t="s">
        <v>37</v>
      </c>
      <c r="B20" s="161" t="s">
        <v>38</v>
      </c>
      <c r="C20" s="159"/>
      <c r="D20" s="159"/>
      <c r="E20" s="159"/>
      <c r="F20" s="159"/>
      <c r="G20" s="159"/>
      <c r="H20" s="159"/>
      <c r="I20" s="159"/>
    </row>
    <row r="21" spans="1:9" ht="12" customHeight="1" x14ac:dyDescent="0.25">
      <c r="A21" s="156" t="s">
        <v>39</v>
      </c>
      <c r="B21" s="161" t="s">
        <v>40</v>
      </c>
      <c r="C21" s="159"/>
      <c r="D21" s="159"/>
      <c r="E21" s="159"/>
      <c r="F21" s="159"/>
      <c r="G21" s="159"/>
      <c r="H21" s="159"/>
      <c r="I21" s="159"/>
    </row>
    <row r="22" spans="1:9" ht="13.5" customHeight="1" x14ac:dyDescent="0.25">
      <c r="A22" s="156" t="s">
        <v>41</v>
      </c>
      <c r="B22" s="161" t="s">
        <v>42</v>
      </c>
      <c r="C22" s="159"/>
      <c r="D22" s="159"/>
      <c r="E22" s="159"/>
      <c r="F22" s="159"/>
      <c r="G22" s="159"/>
      <c r="H22" s="159"/>
      <c r="I22" s="159"/>
    </row>
    <row r="23" spans="1:9" ht="12.75" customHeight="1" x14ac:dyDescent="0.25">
      <c r="A23" s="156" t="s">
        <v>43</v>
      </c>
      <c r="B23" s="161" t="s">
        <v>44</v>
      </c>
      <c r="C23" s="159">
        <f>321151+1002+274667</f>
        <v>596820</v>
      </c>
      <c r="D23" s="159">
        <f>2833+176539</f>
        <v>179372</v>
      </c>
      <c r="E23" s="159"/>
      <c r="F23" s="159"/>
      <c r="G23" s="159">
        <f>133479+1002+98128</f>
        <v>232609</v>
      </c>
      <c r="H23" s="159"/>
      <c r="I23" s="159">
        <f>184839</f>
        <v>184839</v>
      </c>
    </row>
    <row r="24" spans="1:9" ht="12.75" customHeight="1" x14ac:dyDescent="0.25">
      <c r="A24" s="156" t="s">
        <v>45</v>
      </c>
      <c r="B24" s="161" t="s">
        <v>46</v>
      </c>
      <c r="C24" s="159"/>
      <c r="D24" s="159"/>
      <c r="E24" s="159"/>
      <c r="F24" s="159"/>
      <c r="G24" s="159"/>
      <c r="H24" s="159"/>
      <c r="I24" s="159"/>
    </row>
    <row r="25" spans="1:9" ht="11.25" customHeight="1" x14ac:dyDescent="0.25">
      <c r="A25" s="156" t="s">
        <v>47</v>
      </c>
      <c r="B25" s="161" t="s">
        <v>48</v>
      </c>
      <c r="C25" s="159"/>
      <c r="D25" s="159"/>
      <c r="E25" s="159"/>
      <c r="F25" s="159"/>
      <c r="G25" s="159"/>
      <c r="H25" s="159"/>
      <c r="I25" s="159"/>
    </row>
    <row r="26" spans="1:9" ht="12" customHeight="1" x14ac:dyDescent="0.25">
      <c r="A26" s="156" t="s">
        <v>49</v>
      </c>
      <c r="B26" s="161" t="s">
        <v>50</v>
      </c>
      <c r="C26" s="159">
        <f>28355+315+1204</f>
        <v>29874</v>
      </c>
      <c r="D26" s="159"/>
      <c r="E26" s="159"/>
      <c r="F26" s="159">
        <f>315</f>
        <v>315</v>
      </c>
      <c r="G26" s="159">
        <f>26274+1204</f>
        <v>27478</v>
      </c>
      <c r="H26" s="159"/>
      <c r="I26" s="159">
        <f>2081</f>
        <v>2081</v>
      </c>
    </row>
    <row r="27" spans="1:9" ht="12" customHeight="1" x14ac:dyDescent="0.25">
      <c r="A27" s="156" t="s">
        <v>51</v>
      </c>
      <c r="B27" s="161" t="s">
        <v>52</v>
      </c>
      <c r="C27" s="159"/>
      <c r="D27" s="159"/>
      <c r="E27" s="159"/>
      <c r="F27" s="159"/>
      <c r="G27" s="159"/>
      <c r="H27" s="159"/>
      <c r="I27" s="159"/>
    </row>
    <row r="28" spans="1:9" ht="12.75" customHeight="1" x14ac:dyDescent="0.25">
      <c r="A28" s="156" t="s">
        <v>53</v>
      </c>
      <c r="B28" s="161" t="s">
        <v>54</v>
      </c>
      <c r="C28" s="159">
        <f>2199+930</f>
        <v>3129</v>
      </c>
      <c r="D28" s="159"/>
      <c r="E28" s="159"/>
      <c r="F28" s="159"/>
      <c r="G28" s="159">
        <f>2199+930</f>
        <v>3129</v>
      </c>
      <c r="H28" s="159"/>
      <c r="I28" s="159"/>
    </row>
    <row r="29" spans="1:9" ht="11.25" customHeight="1" x14ac:dyDescent="0.25">
      <c r="A29" s="156" t="s">
        <v>55</v>
      </c>
      <c r="B29" s="161" t="s">
        <v>56</v>
      </c>
      <c r="C29" s="159">
        <f>1023+176312+84995</f>
        <v>262330</v>
      </c>
      <c r="D29" s="159">
        <f>4321+10003</f>
        <v>14324</v>
      </c>
      <c r="E29" s="159"/>
      <c r="F29" s="159">
        <f>10437</f>
        <v>10437</v>
      </c>
      <c r="G29" s="159">
        <f>1023+148735+74992</f>
        <v>224750</v>
      </c>
      <c r="H29" s="159"/>
      <c r="I29" s="159">
        <f>12819</f>
        <v>12819</v>
      </c>
    </row>
    <row r="30" spans="1:9" ht="12" customHeight="1" x14ac:dyDescent="0.25">
      <c r="A30" s="156" t="s">
        <v>57</v>
      </c>
      <c r="B30" s="161" t="s">
        <v>58</v>
      </c>
      <c r="C30" s="159">
        <f>105</f>
        <v>105</v>
      </c>
      <c r="D30" s="159"/>
      <c r="E30" s="159"/>
      <c r="F30" s="159"/>
      <c r="G30" s="159">
        <f>105</f>
        <v>105</v>
      </c>
      <c r="H30" s="159"/>
      <c r="I30" s="159"/>
    </row>
    <row r="31" spans="1:9" ht="12.75" customHeight="1" x14ac:dyDescent="0.25">
      <c r="A31" s="156" t="s">
        <v>59</v>
      </c>
      <c r="B31" s="163" t="s">
        <v>60</v>
      </c>
      <c r="C31" s="159"/>
      <c r="D31" s="159"/>
      <c r="E31" s="159"/>
      <c r="F31" s="159"/>
      <c r="G31" s="159"/>
      <c r="H31" s="159"/>
      <c r="I31" s="159"/>
    </row>
    <row r="32" spans="1:9" ht="12" customHeight="1" x14ac:dyDescent="0.25">
      <c r="A32" s="156" t="s">
        <v>61</v>
      </c>
      <c r="B32" s="161" t="s">
        <v>62</v>
      </c>
      <c r="C32" s="159">
        <f>143+1776</f>
        <v>1919</v>
      </c>
      <c r="D32" s="159"/>
      <c r="E32" s="159"/>
      <c r="F32" s="159"/>
      <c r="G32" s="159">
        <f>143+1105</f>
        <v>1248</v>
      </c>
      <c r="H32" s="159"/>
      <c r="I32" s="159">
        <f>671</f>
        <v>671</v>
      </c>
    </row>
    <row r="33" spans="1:9" ht="12" customHeight="1" x14ac:dyDescent="0.25">
      <c r="A33" s="156" t="s">
        <v>63</v>
      </c>
      <c r="B33" s="161" t="s">
        <v>64</v>
      </c>
      <c r="C33" s="159"/>
      <c r="D33" s="159"/>
      <c r="E33" s="159"/>
      <c r="F33" s="159"/>
      <c r="G33" s="159"/>
      <c r="H33" s="159"/>
      <c r="I33" s="159"/>
    </row>
    <row r="34" spans="1:9" x14ac:dyDescent="0.25">
      <c r="A34" s="33" t="s">
        <v>4</v>
      </c>
      <c r="B34" s="34" t="s">
        <v>65</v>
      </c>
      <c r="C34" s="34">
        <f>56+127+377+287+200+246+937+180+280+115+443+92</f>
        <v>3340</v>
      </c>
      <c r="D34" s="38"/>
      <c r="E34" s="38"/>
      <c r="F34" s="38"/>
      <c r="G34" s="38"/>
      <c r="H34" s="38"/>
      <c r="I34" s="38"/>
    </row>
    <row r="35" spans="1:9" ht="9.75" customHeight="1" x14ac:dyDescent="0.25">
      <c r="A35" s="5"/>
      <c r="B35" s="164" t="s">
        <v>3</v>
      </c>
      <c r="C35" s="39"/>
      <c r="D35" s="38"/>
      <c r="E35" s="38"/>
      <c r="F35" s="38"/>
      <c r="G35" s="38"/>
      <c r="H35" s="38"/>
      <c r="I35" s="38"/>
    </row>
    <row r="36" spans="1:9" ht="12.75" customHeight="1" x14ac:dyDescent="0.25">
      <c r="A36" s="5"/>
      <c r="B36" s="164" t="s">
        <v>66</v>
      </c>
      <c r="C36" s="39">
        <f>37+43+269+180+173+171+408+178+200+91+333+92</f>
        <v>2175</v>
      </c>
      <c r="D36" s="38"/>
      <c r="E36" s="38"/>
      <c r="F36" s="38"/>
      <c r="G36" s="38"/>
      <c r="H36" s="38"/>
      <c r="I36" s="38"/>
    </row>
    <row r="37" spans="1:9" x14ac:dyDescent="0.25">
      <c r="A37" s="5"/>
      <c r="B37" s="164" t="s">
        <v>67</v>
      </c>
      <c r="C37" s="42">
        <f>19+84+108+105+27+75+529+4+80+24+110+0</f>
        <v>1165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371CF-53A2-454C-997D-59158DCF0393}">
  <dimension ref="A1:I38"/>
  <sheetViews>
    <sheetView topLeftCell="A16" zoomScale="120" zoomScaleNormal="120" workbookViewId="0">
      <selection activeCell="G35" sqref="G35:G36"/>
    </sheetView>
  </sheetViews>
  <sheetFormatPr defaultRowHeight="15" x14ac:dyDescent="0.25"/>
  <cols>
    <col min="1" max="1" width="5.28515625" customWidth="1"/>
    <col min="2" max="2" width="37.42578125" customWidth="1"/>
  </cols>
  <sheetData>
    <row r="1" spans="1:9" x14ac:dyDescent="0.25">
      <c r="A1" s="33" t="s">
        <v>0</v>
      </c>
      <c r="B1" s="3"/>
      <c r="C1" s="3"/>
      <c r="D1" s="3"/>
      <c r="E1" s="3"/>
      <c r="F1" s="4"/>
      <c r="G1" s="3"/>
      <c r="H1" s="3"/>
      <c r="I1" s="146"/>
    </row>
    <row r="2" spans="1:9" ht="13.5" customHeight="1" x14ac:dyDescent="0.25">
      <c r="A2" s="5"/>
      <c r="B2" s="147" t="s">
        <v>86</v>
      </c>
      <c r="C2" s="3"/>
      <c r="D2" s="3"/>
      <c r="E2" s="3"/>
      <c r="F2" s="4"/>
      <c r="G2" s="3"/>
      <c r="H2" s="3"/>
      <c r="I2" s="146"/>
    </row>
    <row r="3" spans="1:9" ht="12.75" customHeight="1" x14ac:dyDescent="0.25">
      <c r="A3" s="8" t="s">
        <v>1</v>
      </c>
      <c r="B3" s="8"/>
      <c r="C3" s="148"/>
      <c r="D3" s="8"/>
      <c r="E3" s="8"/>
      <c r="F3" s="8"/>
      <c r="G3" s="8"/>
      <c r="H3" s="8"/>
      <c r="I3" s="149"/>
    </row>
    <row r="4" spans="1:9" ht="10.5" customHeight="1" x14ac:dyDescent="0.25"/>
    <row r="5" spans="1:9" ht="11.25" customHeight="1" x14ac:dyDescent="0.25">
      <c r="A5" s="10" t="s">
        <v>2</v>
      </c>
      <c r="B5" s="11"/>
      <c r="C5" s="11"/>
      <c r="D5" s="12" t="s">
        <v>3</v>
      </c>
      <c r="E5" s="13"/>
      <c r="F5" s="14"/>
      <c r="G5" s="13"/>
      <c r="H5" s="13"/>
      <c r="I5" s="15"/>
    </row>
    <row r="6" spans="1:9" ht="10.5" customHeight="1" x14ac:dyDescent="0.25">
      <c r="A6" s="150" t="s">
        <v>4</v>
      </c>
      <c r="B6" s="151" t="s">
        <v>5</v>
      </c>
      <c r="C6" s="152" t="s">
        <v>6</v>
      </c>
      <c r="D6" s="153" t="s">
        <v>7</v>
      </c>
      <c r="E6" s="154"/>
      <c r="F6" s="154"/>
      <c r="G6" s="155" t="s">
        <v>8</v>
      </c>
      <c r="H6" s="154"/>
      <c r="I6" s="154"/>
    </row>
    <row r="7" spans="1:9" ht="11.25" customHeight="1" x14ac:dyDescent="0.25">
      <c r="A7" s="156" t="s">
        <v>9</v>
      </c>
      <c r="B7" s="157"/>
      <c r="C7" s="157"/>
      <c r="D7" s="156" t="s">
        <v>10</v>
      </c>
      <c r="E7" s="156" t="s">
        <v>11</v>
      </c>
      <c r="F7" s="156" t="s">
        <v>12</v>
      </c>
      <c r="G7" s="156" t="s">
        <v>13</v>
      </c>
      <c r="H7" s="156" t="s">
        <v>11</v>
      </c>
      <c r="I7" s="156" t="s">
        <v>12</v>
      </c>
    </row>
    <row r="8" spans="1:9" ht="12.75" customHeight="1" x14ac:dyDescent="0.25">
      <c r="A8" s="156">
        <v>0</v>
      </c>
      <c r="B8" s="158" t="s">
        <v>14</v>
      </c>
      <c r="C8" s="159">
        <f>695053</f>
        <v>695053</v>
      </c>
      <c r="D8" s="160">
        <f>42857</f>
        <v>42857</v>
      </c>
      <c r="E8" s="159">
        <f>16602</f>
        <v>16602</v>
      </c>
      <c r="F8" s="159">
        <f>203520</f>
        <v>203520</v>
      </c>
      <c r="G8" s="159">
        <f>252001</f>
        <v>252001</v>
      </c>
      <c r="H8" s="159">
        <f>114794</f>
        <v>114794</v>
      </c>
      <c r="I8" s="159">
        <f>65279</f>
        <v>65279</v>
      </c>
    </row>
    <row r="9" spans="1:9" ht="12" customHeight="1" x14ac:dyDescent="0.25">
      <c r="A9" s="156" t="s">
        <v>15</v>
      </c>
      <c r="B9" s="161" t="s">
        <v>16</v>
      </c>
      <c r="C9" s="159">
        <f>225639</f>
        <v>225639</v>
      </c>
      <c r="D9" s="159"/>
      <c r="E9" s="159">
        <f>15802</f>
        <v>15802</v>
      </c>
      <c r="F9" s="159">
        <f>186653</f>
        <v>186653</v>
      </c>
      <c r="G9" s="159">
        <f>23184</f>
        <v>23184</v>
      </c>
      <c r="H9" s="159"/>
      <c r="I9" s="159"/>
    </row>
    <row r="10" spans="1:9" ht="12" customHeight="1" x14ac:dyDescent="0.25">
      <c r="A10" s="156" t="s">
        <v>17</v>
      </c>
      <c r="B10" s="162" t="s">
        <v>18</v>
      </c>
      <c r="C10" s="159"/>
      <c r="D10" s="159"/>
      <c r="E10" s="159"/>
      <c r="F10" s="159"/>
      <c r="G10" s="159"/>
      <c r="H10" s="159"/>
      <c r="I10" s="159"/>
    </row>
    <row r="11" spans="1:9" ht="12" customHeight="1" x14ac:dyDescent="0.25">
      <c r="A11" s="156" t="s">
        <v>19</v>
      </c>
      <c r="B11" s="161" t="s">
        <v>20</v>
      </c>
      <c r="C11" s="159"/>
      <c r="D11" s="159"/>
      <c r="E11" s="159"/>
      <c r="F11" s="159"/>
      <c r="G11" s="159"/>
      <c r="H11" s="159"/>
      <c r="I11" s="159"/>
    </row>
    <row r="12" spans="1:9" ht="12" customHeight="1" x14ac:dyDescent="0.25">
      <c r="A12" s="156" t="s">
        <v>21</v>
      </c>
      <c r="B12" s="163" t="s">
        <v>22</v>
      </c>
      <c r="C12" s="159"/>
      <c r="D12" s="159"/>
      <c r="E12" s="159"/>
      <c r="F12" s="159"/>
      <c r="G12" s="159"/>
      <c r="H12" s="159"/>
      <c r="I12" s="159"/>
    </row>
    <row r="13" spans="1:9" ht="11.25" customHeight="1" x14ac:dyDescent="0.25">
      <c r="A13" s="156" t="s">
        <v>23</v>
      </c>
      <c r="B13" s="161" t="s">
        <v>24</v>
      </c>
      <c r="C13" s="159">
        <f>5457</f>
        <v>5457</v>
      </c>
      <c r="D13" s="159">
        <f>4304</f>
        <v>4304</v>
      </c>
      <c r="E13" s="159"/>
      <c r="F13" s="159">
        <f>1153</f>
        <v>1153</v>
      </c>
      <c r="G13" s="159"/>
      <c r="H13" s="159"/>
      <c r="I13" s="159"/>
    </row>
    <row r="14" spans="1:9" ht="12" customHeight="1" x14ac:dyDescent="0.25">
      <c r="A14" s="156" t="s">
        <v>25</v>
      </c>
      <c r="B14" s="161" t="s">
        <v>26</v>
      </c>
      <c r="C14" s="159">
        <f>34845</f>
        <v>34845</v>
      </c>
      <c r="D14" s="159"/>
      <c r="E14" s="159">
        <f>800</f>
        <v>800</v>
      </c>
      <c r="F14" s="159"/>
      <c r="G14" s="159">
        <f>12003</f>
        <v>12003</v>
      </c>
      <c r="H14" s="159">
        <f>4330</f>
        <v>4330</v>
      </c>
      <c r="I14" s="159">
        <f>17712</f>
        <v>17712</v>
      </c>
    </row>
    <row r="15" spans="1:9" ht="13.5" customHeight="1" x14ac:dyDescent="0.25">
      <c r="A15" s="156" t="s">
        <v>27</v>
      </c>
      <c r="B15" s="163" t="s">
        <v>28</v>
      </c>
      <c r="C15" s="159">
        <f>56672</f>
        <v>56672</v>
      </c>
      <c r="D15" s="159"/>
      <c r="E15" s="159"/>
      <c r="F15" s="159"/>
      <c r="G15" s="159">
        <f>54319</f>
        <v>54319</v>
      </c>
      <c r="H15" s="159">
        <f>1355</f>
        <v>1355</v>
      </c>
      <c r="I15" s="159">
        <f>998</f>
        <v>998</v>
      </c>
    </row>
    <row r="16" spans="1:9" ht="10.5" customHeight="1" x14ac:dyDescent="0.25">
      <c r="A16" s="156" t="s">
        <v>29</v>
      </c>
      <c r="B16" s="161" t="s">
        <v>30</v>
      </c>
      <c r="C16" s="159">
        <f>125909</f>
        <v>125909</v>
      </c>
      <c r="D16" s="159"/>
      <c r="E16" s="159"/>
      <c r="F16" s="159"/>
      <c r="G16" s="159">
        <f>4562</f>
        <v>4562</v>
      </c>
      <c r="H16" s="159">
        <f>109109</f>
        <v>109109</v>
      </c>
      <c r="I16" s="159">
        <f>12238</f>
        <v>12238</v>
      </c>
    </row>
    <row r="17" spans="1:9" ht="11.25" customHeight="1" x14ac:dyDescent="0.25">
      <c r="A17" s="156" t="s">
        <v>31</v>
      </c>
      <c r="B17" s="161" t="s">
        <v>32</v>
      </c>
      <c r="C17" s="159">
        <f>15714</f>
        <v>15714</v>
      </c>
      <c r="D17" s="159"/>
      <c r="E17" s="159"/>
      <c r="F17" s="159">
        <f>15714</f>
        <v>15714</v>
      </c>
      <c r="G17" s="159"/>
      <c r="H17" s="159"/>
      <c r="I17" s="159"/>
    </row>
    <row r="18" spans="1:9" ht="11.25" customHeight="1" x14ac:dyDescent="0.25">
      <c r="A18" s="156" t="s">
        <v>33</v>
      </c>
      <c r="B18" s="161" t="s">
        <v>34</v>
      </c>
      <c r="C18" s="159">
        <f>4460</f>
        <v>4460</v>
      </c>
      <c r="D18" s="159"/>
      <c r="E18" s="159"/>
      <c r="F18" s="159"/>
      <c r="G18" s="159">
        <f>4460</f>
        <v>4460</v>
      </c>
      <c r="H18" s="159"/>
      <c r="I18" s="159"/>
    </row>
    <row r="19" spans="1:9" ht="27" x14ac:dyDescent="0.25">
      <c r="A19" s="156" t="s">
        <v>35</v>
      </c>
      <c r="B19" s="163" t="s">
        <v>36</v>
      </c>
      <c r="C19" s="159"/>
      <c r="D19" s="159"/>
      <c r="E19" s="159"/>
      <c r="F19" s="159"/>
      <c r="G19" s="159"/>
      <c r="H19" s="159"/>
      <c r="I19" s="159"/>
    </row>
    <row r="20" spans="1:9" ht="13.5" customHeight="1" x14ac:dyDescent="0.25">
      <c r="A20" s="156" t="s">
        <v>37</v>
      </c>
      <c r="B20" s="161" t="s">
        <v>38</v>
      </c>
      <c r="C20" s="159"/>
      <c r="D20" s="159"/>
      <c r="E20" s="159"/>
      <c r="F20" s="159"/>
      <c r="G20" s="159"/>
      <c r="H20" s="159"/>
      <c r="I20" s="159"/>
    </row>
    <row r="21" spans="1:9" ht="12" customHeight="1" x14ac:dyDescent="0.25">
      <c r="A21" s="156" t="s">
        <v>39</v>
      </c>
      <c r="B21" s="161" t="s">
        <v>40</v>
      </c>
      <c r="C21" s="159"/>
      <c r="D21" s="159"/>
      <c r="E21" s="159"/>
      <c r="F21" s="159"/>
      <c r="G21" s="159"/>
      <c r="H21" s="159"/>
      <c r="I21" s="159"/>
    </row>
    <row r="22" spans="1:9" ht="13.5" customHeight="1" x14ac:dyDescent="0.25">
      <c r="A22" s="156" t="s">
        <v>41</v>
      </c>
      <c r="B22" s="161" t="s">
        <v>42</v>
      </c>
      <c r="C22" s="159"/>
      <c r="D22" s="159"/>
      <c r="E22" s="159"/>
      <c r="F22" s="159"/>
      <c r="G22" s="159"/>
      <c r="H22" s="159"/>
      <c r="I22" s="159"/>
    </row>
    <row r="23" spans="1:9" ht="12.75" customHeight="1" x14ac:dyDescent="0.25">
      <c r="A23" s="156" t="s">
        <v>43</v>
      </c>
      <c r="B23" s="161" t="s">
        <v>44</v>
      </c>
      <c r="C23" s="159">
        <f>146175</f>
        <v>146175</v>
      </c>
      <c r="D23" s="159">
        <f>36652</f>
        <v>36652</v>
      </c>
      <c r="E23" s="159"/>
      <c r="F23" s="159"/>
      <c r="G23" s="159">
        <f>76356</f>
        <v>76356</v>
      </c>
      <c r="H23" s="159"/>
      <c r="I23" s="159">
        <f>33167</f>
        <v>33167</v>
      </c>
    </row>
    <row r="24" spans="1:9" ht="12.75" customHeight="1" x14ac:dyDescent="0.25">
      <c r="A24" s="156" t="s">
        <v>45</v>
      </c>
      <c r="B24" s="161" t="s">
        <v>46</v>
      </c>
      <c r="C24" s="159"/>
      <c r="D24" s="159"/>
      <c r="E24" s="159"/>
      <c r="F24" s="159"/>
      <c r="G24" s="159"/>
      <c r="H24" s="159"/>
      <c r="I24" s="159"/>
    </row>
    <row r="25" spans="1:9" ht="11.25" customHeight="1" x14ac:dyDescent="0.25">
      <c r="A25" s="156" t="s">
        <v>47</v>
      </c>
      <c r="B25" s="161" t="s">
        <v>48</v>
      </c>
      <c r="C25" s="159">
        <f>1002</f>
        <v>1002</v>
      </c>
      <c r="D25" s="159"/>
      <c r="E25" s="159"/>
      <c r="F25" s="159"/>
      <c r="G25" s="159">
        <f>1002</f>
        <v>1002</v>
      </c>
      <c r="H25" s="159"/>
      <c r="I25" s="159"/>
    </row>
    <row r="26" spans="1:9" ht="12" customHeight="1" x14ac:dyDescent="0.25">
      <c r="A26" s="156" t="s">
        <v>49</v>
      </c>
      <c r="B26" s="161" t="s">
        <v>50</v>
      </c>
      <c r="C26" s="159">
        <f>6163</f>
        <v>6163</v>
      </c>
      <c r="D26" s="159"/>
      <c r="E26" s="159"/>
      <c r="F26" s="159"/>
      <c r="G26" s="159">
        <f>4999</f>
        <v>4999</v>
      </c>
      <c r="H26" s="159"/>
      <c r="I26" s="159">
        <f>1164</f>
        <v>1164</v>
      </c>
    </row>
    <row r="27" spans="1:9" ht="12" customHeight="1" x14ac:dyDescent="0.25">
      <c r="A27" s="156" t="s">
        <v>51</v>
      </c>
      <c r="B27" s="161" t="s">
        <v>52</v>
      </c>
      <c r="C27" s="159"/>
      <c r="D27" s="159"/>
      <c r="E27" s="159"/>
      <c r="F27" s="159"/>
      <c r="G27" s="159"/>
      <c r="H27" s="159"/>
      <c r="I27" s="159"/>
    </row>
    <row r="28" spans="1:9" ht="12.75" customHeight="1" x14ac:dyDescent="0.25">
      <c r="A28" s="156" t="s">
        <v>53</v>
      </c>
      <c r="B28" s="161" t="s">
        <v>54</v>
      </c>
      <c r="C28" s="159">
        <f>27526</f>
        <v>27526</v>
      </c>
      <c r="D28" s="159"/>
      <c r="E28" s="159"/>
      <c r="F28" s="159"/>
      <c r="G28" s="159">
        <f>27526</f>
        <v>27526</v>
      </c>
      <c r="H28" s="159"/>
      <c r="I28" s="159"/>
    </row>
    <row r="29" spans="1:9" ht="11.25" customHeight="1" x14ac:dyDescent="0.25">
      <c r="A29" s="156" t="s">
        <v>55</v>
      </c>
      <c r="B29" s="161" t="s">
        <v>56</v>
      </c>
      <c r="C29" s="159">
        <f>45348</f>
        <v>45348</v>
      </c>
      <c r="D29" s="159">
        <f>1901</f>
        <v>1901</v>
      </c>
      <c r="E29" s="159"/>
      <c r="F29" s="159"/>
      <c r="G29" s="159">
        <f>43447</f>
        <v>43447</v>
      </c>
      <c r="H29" s="159"/>
      <c r="I29" s="159"/>
    </row>
    <row r="30" spans="1:9" ht="12" customHeight="1" x14ac:dyDescent="0.25">
      <c r="A30" s="156" t="s">
        <v>57</v>
      </c>
      <c r="B30" s="161" t="s">
        <v>58</v>
      </c>
      <c r="C30" s="159"/>
      <c r="D30" s="159"/>
      <c r="E30" s="159"/>
      <c r="F30" s="159"/>
      <c r="G30" s="159"/>
      <c r="H30" s="159"/>
      <c r="I30" s="159"/>
    </row>
    <row r="31" spans="1:9" ht="12.75" customHeight="1" x14ac:dyDescent="0.25">
      <c r="A31" s="156" t="s">
        <v>59</v>
      </c>
      <c r="B31" s="163" t="s">
        <v>60</v>
      </c>
      <c r="C31" s="159"/>
      <c r="D31" s="159"/>
      <c r="E31" s="159"/>
      <c r="F31" s="159"/>
      <c r="G31" s="159"/>
      <c r="H31" s="159"/>
      <c r="I31" s="159"/>
    </row>
    <row r="32" spans="1:9" ht="12" customHeight="1" x14ac:dyDescent="0.25">
      <c r="A32" s="156" t="s">
        <v>61</v>
      </c>
      <c r="B32" s="161" t="s">
        <v>62</v>
      </c>
      <c r="C32" s="159">
        <f>143</f>
        <v>143</v>
      </c>
      <c r="D32" s="159"/>
      <c r="E32" s="159"/>
      <c r="F32" s="159"/>
      <c r="G32" s="159">
        <f>143</f>
        <v>143</v>
      </c>
      <c r="H32" s="159"/>
      <c r="I32" s="159"/>
    </row>
    <row r="33" spans="1:9" ht="12" customHeight="1" x14ac:dyDescent="0.25">
      <c r="A33" s="156" t="s">
        <v>63</v>
      </c>
      <c r="B33" s="161" t="s">
        <v>64</v>
      </c>
      <c r="C33" s="159"/>
      <c r="D33" s="159"/>
      <c r="E33" s="159"/>
      <c r="F33" s="159"/>
      <c r="G33" s="159"/>
      <c r="H33" s="159"/>
      <c r="I33" s="159"/>
    </row>
    <row r="34" spans="1:9" ht="12" customHeight="1" x14ac:dyDescent="0.25">
      <c r="A34" s="165"/>
      <c r="B34" s="166"/>
      <c r="C34" s="167"/>
      <c r="D34" s="167"/>
      <c r="E34" s="167"/>
      <c r="F34" s="167"/>
      <c r="G34" s="167"/>
      <c r="H34" s="167"/>
      <c r="I34" s="167"/>
    </row>
    <row r="35" spans="1:9" x14ac:dyDescent="0.25">
      <c r="A35" s="33" t="s">
        <v>4</v>
      </c>
      <c r="B35" s="34" t="s">
        <v>65</v>
      </c>
      <c r="C35" s="34">
        <v>702</v>
      </c>
      <c r="D35" s="38"/>
      <c r="E35" s="38"/>
      <c r="F35" s="38"/>
      <c r="G35" s="38"/>
      <c r="H35" s="38"/>
      <c r="I35" s="38"/>
    </row>
    <row r="36" spans="1:9" ht="9.75" customHeight="1" x14ac:dyDescent="0.25">
      <c r="A36" s="5"/>
      <c r="B36" s="164" t="s">
        <v>3</v>
      </c>
      <c r="C36" s="39"/>
      <c r="D36" s="38"/>
      <c r="E36" s="38"/>
      <c r="F36" s="38"/>
      <c r="G36" s="38"/>
      <c r="H36" s="38"/>
      <c r="I36" s="38"/>
    </row>
    <row r="37" spans="1:9" ht="12.75" customHeight="1" x14ac:dyDescent="0.25">
      <c r="A37" s="5"/>
      <c r="B37" s="164" t="s">
        <v>66</v>
      </c>
      <c r="C37" s="39">
        <v>444</v>
      </c>
      <c r="D37" s="38"/>
      <c r="E37" s="38"/>
      <c r="F37" s="38"/>
      <c r="G37" s="38"/>
      <c r="H37" s="38"/>
      <c r="I37" s="38"/>
    </row>
    <row r="38" spans="1:9" x14ac:dyDescent="0.25">
      <c r="A38" s="5"/>
      <c r="B38" s="164" t="s">
        <v>67</v>
      </c>
      <c r="C38" s="42">
        <v>258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F75AF-88AA-44DD-9C9B-938E986B4669}">
  <dimension ref="A1:I38"/>
  <sheetViews>
    <sheetView topLeftCell="A16" workbookViewId="0">
      <selection activeCell="G35" sqref="G35:G37"/>
    </sheetView>
  </sheetViews>
  <sheetFormatPr defaultRowHeight="15" x14ac:dyDescent="0.25"/>
  <cols>
    <col min="2" max="2" width="35.140625" bestFit="1" customWidth="1"/>
  </cols>
  <sheetData>
    <row r="1" spans="1:9" x14ac:dyDescent="0.25">
      <c r="A1" s="33" t="s">
        <v>0</v>
      </c>
      <c r="B1" s="3"/>
      <c r="C1" s="3"/>
      <c r="D1" s="3"/>
      <c r="E1" s="3"/>
      <c r="F1" s="4"/>
      <c r="G1" s="3"/>
      <c r="H1" s="3"/>
      <c r="I1" s="146"/>
    </row>
    <row r="2" spans="1:9" ht="13.5" customHeight="1" x14ac:dyDescent="0.25">
      <c r="A2" s="5"/>
      <c r="B2" s="147" t="s">
        <v>87</v>
      </c>
      <c r="C2" s="3"/>
      <c r="D2" s="3"/>
      <c r="E2" s="3"/>
      <c r="F2" s="4"/>
      <c r="G2" s="3"/>
      <c r="H2" s="3"/>
      <c r="I2" s="146"/>
    </row>
    <row r="3" spans="1:9" ht="12.75" customHeight="1" x14ac:dyDescent="0.25">
      <c r="A3" s="8" t="s">
        <v>1</v>
      </c>
      <c r="B3" s="8"/>
      <c r="C3" s="148"/>
      <c r="D3" s="8"/>
      <c r="E3" s="8"/>
      <c r="F3" s="8"/>
      <c r="G3" s="8"/>
      <c r="H3" s="8"/>
      <c r="I3" s="149"/>
    </row>
    <row r="4" spans="1:9" ht="10.5" customHeight="1" x14ac:dyDescent="0.25"/>
    <row r="5" spans="1:9" ht="11.25" customHeight="1" x14ac:dyDescent="0.25">
      <c r="A5" s="10" t="s">
        <v>2</v>
      </c>
      <c r="B5" s="11"/>
      <c r="C5" s="11"/>
      <c r="D5" s="12" t="s">
        <v>3</v>
      </c>
      <c r="E5" s="13"/>
      <c r="F5" s="14"/>
      <c r="G5" s="13"/>
      <c r="H5" s="13"/>
      <c r="I5" s="15"/>
    </row>
    <row r="6" spans="1:9" ht="10.5" customHeight="1" x14ac:dyDescent="0.25">
      <c r="A6" s="150" t="s">
        <v>4</v>
      </c>
      <c r="B6" s="151" t="s">
        <v>5</v>
      </c>
      <c r="C6" s="152" t="s">
        <v>6</v>
      </c>
      <c r="D6" s="153" t="s">
        <v>7</v>
      </c>
      <c r="E6" s="154"/>
      <c r="F6" s="154"/>
      <c r="G6" s="155" t="s">
        <v>8</v>
      </c>
      <c r="H6" s="154"/>
      <c r="I6" s="154"/>
    </row>
    <row r="7" spans="1:9" ht="11.25" customHeight="1" x14ac:dyDescent="0.25">
      <c r="A7" s="156" t="s">
        <v>9</v>
      </c>
      <c r="B7" s="157"/>
      <c r="C7" s="157"/>
      <c r="D7" s="156" t="s">
        <v>10</v>
      </c>
      <c r="E7" s="156" t="s">
        <v>11</v>
      </c>
      <c r="F7" s="156" t="s">
        <v>12</v>
      </c>
      <c r="G7" s="156" t="s">
        <v>13</v>
      </c>
      <c r="H7" s="156" t="s">
        <v>11</v>
      </c>
      <c r="I7" s="156" t="s">
        <v>12</v>
      </c>
    </row>
    <row r="8" spans="1:9" ht="12.75" customHeight="1" x14ac:dyDescent="0.25">
      <c r="A8" s="156">
        <v>0</v>
      </c>
      <c r="B8" s="158" t="s">
        <v>14</v>
      </c>
      <c r="C8" s="159">
        <f>705870</f>
        <v>705870</v>
      </c>
      <c r="D8" s="160">
        <f>46492</f>
        <v>46492</v>
      </c>
      <c r="E8" s="159">
        <f>8939</f>
        <v>8939</v>
      </c>
      <c r="F8" s="159">
        <f>160477</f>
        <v>160477</v>
      </c>
      <c r="G8" s="159">
        <f>198589</f>
        <v>198589</v>
      </c>
      <c r="H8" s="159">
        <f>192055</f>
        <v>192055</v>
      </c>
      <c r="I8" s="159">
        <f>99318</f>
        <v>99318</v>
      </c>
    </row>
    <row r="9" spans="1:9" ht="12" customHeight="1" x14ac:dyDescent="0.25">
      <c r="A9" s="156" t="s">
        <v>15</v>
      </c>
      <c r="B9" s="161" t="s">
        <v>16</v>
      </c>
      <c r="C9" s="159">
        <f>173471</f>
        <v>173471</v>
      </c>
      <c r="D9" s="159">
        <f>13239</f>
        <v>13239</v>
      </c>
      <c r="E9" s="159">
        <f>8939</f>
        <v>8939</v>
      </c>
      <c r="F9" s="159">
        <f>143299</f>
        <v>143299</v>
      </c>
      <c r="G9" s="159">
        <f>1002</f>
        <v>1002</v>
      </c>
      <c r="H9" s="159"/>
      <c r="I9" s="159">
        <f>6992</f>
        <v>6992</v>
      </c>
    </row>
    <row r="10" spans="1:9" ht="12" customHeight="1" x14ac:dyDescent="0.25">
      <c r="A10" s="156" t="s">
        <v>17</v>
      </c>
      <c r="B10" s="162" t="s">
        <v>18</v>
      </c>
      <c r="C10" s="159"/>
      <c r="D10" s="159"/>
      <c r="E10" s="159"/>
      <c r="F10" s="159"/>
      <c r="G10" s="159"/>
      <c r="H10" s="159"/>
      <c r="I10" s="159"/>
    </row>
    <row r="11" spans="1:9" ht="12" customHeight="1" x14ac:dyDescent="0.25">
      <c r="A11" s="156" t="s">
        <v>19</v>
      </c>
      <c r="B11" s="161" t="s">
        <v>20</v>
      </c>
      <c r="C11" s="159"/>
      <c r="D11" s="159"/>
      <c r="E11" s="159"/>
      <c r="F11" s="159"/>
      <c r="G11" s="159"/>
      <c r="H11" s="159"/>
      <c r="I11" s="159"/>
    </row>
    <row r="12" spans="1:9" ht="12" customHeight="1" x14ac:dyDescent="0.25">
      <c r="A12" s="156" t="s">
        <v>21</v>
      </c>
      <c r="B12" s="163" t="s">
        <v>22</v>
      </c>
      <c r="C12" s="159"/>
      <c r="D12" s="159"/>
      <c r="E12" s="159"/>
      <c r="F12" s="159"/>
      <c r="G12" s="159"/>
      <c r="H12" s="159"/>
      <c r="I12" s="159"/>
    </row>
    <row r="13" spans="1:9" ht="11.25" customHeight="1" x14ac:dyDescent="0.25">
      <c r="A13" s="156" t="s">
        <v>23</v>
      </c>
      <c r="B13" s="161" t="s">
        <v>24</v>
      </c>
      <c r="C13" s="159"/>
      <c r="D13" s="159"/>
      <c r="E13" s="159"/>
      <c r="F13" s="159"/>
      <c r="G13" s="159"/>
      <c r="H13" s="159"/>
      <c r="I13" s="159"/>
    </row>
    <row r="14" spans="1:9" ht="12" customHeight="1" x14ac:dyDescent="0.25">
      <c r="A14" s="156" t="s">
        <v>25</v>
      </c>
      <c r="B14" s="161" t="s">
        <v>26</v>
      </c>
      <c r="C14" s="159">
        <f>9566</f>
        <v>9566</v>
      </c>
      <c r="D14" s="159"/>
      <c r="E14" s="159"/>
      <c r="F14" s="159"/>
      <c r="G14" s="159"/>
      <c r="H14" s="159">
        <f>2780</f>
        <v>2780</v>
      </c>
      <c r="I14" s="159">
        <f>6786</f>
        <v>6786</v>
      </c>
    </row>
    <row r="15" spans="1:9" ht="13.5" customHeight="1" x14ac:dyDescent="0.25">
      <c r="A15" s="156" t="s">
        <v>27</v>
      </c>
      <c r="B15" s="163" t="s">
        <v>28</v>
      </c>
      <c r="C15" s="159">
        <f>80289</f>
        <v>80289</v>
      </c>
      <c r="D15" s="159"/>
      <c r="E15" s="159"/>
      <c r="F15" s="159"/>
      <c r="G15" s="159">
        <f>56070</f>
        <v>56070</v>
      </c>
      <c r="H15" s="159">
        <f>6010</f>
        <v>6010</v>
      </c>
      <c r="I15" s="159">
        <f>18209</f>
        <v>18209</v>
      </c>
    </row>
    <row r="16" spans="1:9" ht="10.5" customHeight="1" x14ac:dyDescent="0.25">
      <c r="A16" s="156" t="s">
        <v>29</v>
      </c>
      <c r="B16" s="161" t="s">
        <v>30</v>
      </c>
      <c r="C16" s="159">
        <f>213972</f>
        <v>213972</v>
      </c>
      <c r="D16" s="159"/>
      <c r="E16" s="159"/>
      <c r="F16" s="159"/>
      <c r="G16" s="159">
        <f>16210</f>
        <v>16210</v>
      </c>
      <c r="H16" s="159">
        <f>183265</f>
        <v>183265</v>
      </c>
      <c r="I16" s="159">
        <f>14497</f>
        <v>14497</v>
      </c>
    </row>
    <row r="17" spans="1:9" ht="11.25" customHeight="1" x14ac:dyDescent="0.25">
      <c r="A17" s="156" t="s">
        <v>31</v>
      </c>
      <c r="B17" s="161" t="s">
        <v>32</v>
      </c>
      <c r="C17" s="159">
        <f>17158</f>
        <v>17158</v>
      </c>
      <c r="D17" s="159"/>
      <c r="E17" s="159"/>
      <c r="F17" s="159">
        <f>17158</f>
        <v>17158</v>
      </c>
      <c r="G17" s="159"/>
      <c r="H17" s="159"/>
      <c r="I17" s="159"/>
    </row>
    <row r="18" spans="1:9" ht="11.25" customHeight="1" x14ac:dyDescent="0.25">
      <c r="A18" s="156" t="s">
        <v>33</v>
      </c>
      <c r="B18" s="161" t="s">
        <v>34</v>
      </c>
      <c r="C18" s="159"/>
      <c r="D18" s="159"/>
      <c r="E18" s="159"/>
      <c r="F18" s="159"/>
      <c r="G18" s="159"/>
      <c r="H18" s="159"/>
      <c r="I18" s="159"/>
    </row>
    <row r="19" spans="1:9" ht="27" x14ac:dyDescent="0.25">
      <c r="A19" s="156" t="s">
        <v>35</v>
      </c>
      <c r="B19" s="163" t="s">
        <v>36</v>
      </c>
      <c r="C19" s="159"/>
      <c r="D19" s="159"/>
      <c r="E19" s="159"/>
      <c r="F19" s="159"/>
      <c r="G19" s="159"/>
      <c r="H19" s="159"/>
      <c r="I19" s="159"/>
    </row>
    <row r="20" spans="1:9" ht="13.5" customHeight="1" x14ac:dyDescent="0.25">
      <c r="A20" s="156" t="s">
        <v>37</v>
      </c>
      <c r="B20" s="161" t="s">
        <v>38</v>
      </c>
      <c r="C20" s="159"/>
      <c r="D20" s="159"/>
      <c r="E20" s="159"/>
      <c r="F20" s="159"/>
      <c r="G20" s="159"/>
      <c r="H20" s="159"/>
      <c r="I20" s="159"/>
    </row>
    <row r="21" spans="1:9" ht="12" customHeight="1" x14ac:dyDescent="0.25">
      <c r="A21" s="156" t="s">
        <v>39</v>
      </c>
      <c r="B21" s="161" t="s">
        <v>40</v>
      </c>
      <c r="C21" s="159"/>
      <c r="D21" s="159"/>
      <c r="E21" s="159"/>
      <c r="F21" s="159"/>
      <c r="G21" s="159"/>
      <c r="H21" s="159"/>
      <c r="I21" s="159"/>
    </row>
    <row r="22" spans="1:9" ht="13.5" customHeight="1" x14ac:dyDescent="0.25">
      <c r="A22" s="156" t="s">
        <v>41</v>
      </c>
      <c r="B22" s="161" t="s">
        <v>42</v>
      </c>
      <c r="C22" s="159"/>
      <c r="D22" s="159"/>
      <c r="E22" s="159"/>
      <c r="F22" s="159"/>
      <c r="G22" s="159"/>
      <c r="H22" s="159"/>
      <c r="I22" s="159"/>
    </row>
    <row r="23" spans="1:9" ht="12.75" customHeight="1" x14ac:dyDescent="0.25">
      <c r="A23" s="156" t="s">
        <v>43</v>
      </c>
      <c r="B23" s="161" t="s">
        <v>44</v>
      </c>
      <c r="C23" s="159">
        <f>132567</f>
        <v>132567</v>
      </c>
      <c r="D23" s="159">
        <f>33253</f>
        <v>33253</v>
      </c>
      <c r="E23" s="159"/>
      <c r="F23" s="159"/>
      <c r="G23" s="159">
        <f>48535</f>
        <v>48535</v>
      </c>
      <c r="H23" s="159"/>
      <c r="I23" s="159">
        <f>50779</f>
        <v>50779</v>
      </c>
    </row>
    <row r="24" spans="1:9" ht="12.75" customHeight="1" x14ac:dyDescent="0.25">
      <c r="A24" s="156" t="s">
        <v>45</v>
      </c>
      <c r="B24" s="161" t="s">
        <v>46</v>
      </c>
      <c r="C24" s="159"/>
      <c r="D24" s="159"/>
      <c r="E24" s="159"/>
      <c r="F24" s="159"/>
      <c r="G24" s="159"/>
      <c r="H24" s="159"/>
      <c r="I24" s="159"/>
    </row>
    <row r="25" spans="1:9" ht="11.25" customHeight="1" x14ac:dyDescent="0.25">
      <c r="A25" s="156" t="s">
        <v>47</v>
      </c>
      <c r="B25" s="161" t="s">
        <v>48</v>
      </c>
      <c r="C25" s="159"/>
      <c r="D25" s="159"/>
      <c r="E25" s="159"/>
      <c r="F25" s="159"/>
      <c r="G25" s="159"/>
      <c r="H25" s="159"/>
      <c r="I25" s="159"/>
    </row>
    <row r="26" spans="1:9" ht="12" customHeight="1" x14ac:dyDescent="0.25">
      <c r="A26" s="156" t="s">
        <v>49</v>
      </c>
      <c r="B26" s="161" t="s">
        <v>50</v>
      </c>
      <c r="C26" s="159">
        <f>5727</f>
        <v>5727</v>
      </c>
      <c r="D26" s="159"/>
      <c r="E26" s="159"/>
      <c r="F26" s="159"/>
      <c r="G26" s="159">
        <f>5727</f>
        <v>5727</v>
      </c>
      <c r="H26" s="159"/>
      <c r="I26" s="159"/>
    </row>
    <row r="27" spans="1:9" ht="12" customHeight="1" x14ac:dyDescent="0.25">
      <c r="A27" s="156" t="s">
        <v>51</v>
      </c>
      <c r="B27" s="161" t="s">
        <v>52</v>
      </c>
      <c r="C27" s="159"/>
      <c r="D27" s="159"/>
      <c r="E27" s="159"/>
      <c r="F27" s="159"/>
      <c r="G27" s="159"/>
      <c r="H27" s="159"/>
      <c r="I27" s="159"/>
    </row>
    <row r="28" spans="1:9" ht="12.75" customHeight="1" x14ac:dyDescent="0.25">
      <c r="A28" s="156" t="s">
        <v>53</v>
      </c>
      <c r="B28" s="161" t="s">
        <v>54</v>
      </c>
      <c r="C28" s="159">
        <f>1100</f>
        <v>1100</v>
      </c>
      <c r="D28" s="159"/>
      <c r="E28" s="159"/>
      <c r="F28" s="159"/>
      <c r="G28" s="159">
        <f>1100</f>
        <v>1100</v>
      </c>
      <c r="H28" s="159"/>
      <c r="I28" s="159"/>
    </row>
    <row r="29" spans="1:9" ht="11.25" customHeight="1" x14ac:dyDescent="0.25">
      <c r="A29" s="156" t="s">
        <v>55</v>
      </c>
      <c r="B29" s="161" t="s">
        <v>56</v>
      </c>
      <c r="C29" s="159">
        <f>72020</f>
        <v>72020</v>
      </c>
      <c r="D29" s="159"/>
      <c r="E29" s="159"/>
      <c r="F29" s="159">
        <v>20</v>
      </c>
      <c r="G29" s="159">
        <f>69945</f>
        <v>69945</v>
      </c>
      <c r="H29" s="159"/>
      <c r="I29" s="159">
        <f>2055</f>
        <v>2055</v>
      </c>
    </row>
    <row r="30" spans="1:9" ht="12" customHeight="1" x14ac:dyDescent="0.25">
      <c r="A30" s="156" t="s">
        <v>57</v>
      </c>
      <c r="B30" s="161" t="s">
        <v>58</v>
      </c>
      <c r="C30" s="159"/>
      <c r="D30" s="159"/>
      <c r="E30" s="159"/>
      <c r="F30" s="159"/>
      <c r="G30" s="159"/>
      <c r="H30" s="159"/>
      <c r="I30" s="159"/>
    </row>
    <row r="31" spans="1:9" ht="12.75" customHeight="1" x14ac:dyDescent="0.25">
      <c r="A31" s="156" t="s">
        <v>59</v>
      </c>
      <c r="B31" s="163" t="s">
        <v>60</v>
      </c>
      <c r="C31" s="159"/>
      <c r="D31" s="159"/>
      <c r="E31" s="159"/>
      <c r="F31" s="159"/>
      <c r="G31" s="159"/>
      <c r="H31" s="159"/>
      <c r="I31" s="159"/>
    </row>
    <row r="32" spans="1:9" ht="12" customHeight="1" x14ac:dyDescent="0.25">
      <c r="A32" s="156" t="s">
        <v>61</v>
      </c>
      <c r="B32" s="161" t="s">
        <v>62</v>
      </c>
      <c r="C32" s="159"/>
      <c r="D32" s="159"/>
      <c r="E32" s="159"/>
      <c r="F32" s="159"/>
      <c r="G32" s="159"/>
      <c r="H32" s="159"/>
      <c r="I32" s="159"/>
    </row>
    <row r="33" spans="1:9" ht="12" customHeight="1" x14ac:dyDescent="0.25">
      <c r="A33" s="156" t="s">
        <v>63</v>
      </c>
      <c r="B33" s="161" t="s">
        <v>64</v>
      </c>
      <c r="C33" s="159"/>
      <c r="D33" s="159"/>
      <c r="E33" s="159"/>
      <c r="F33" s="159"/>
      <c r="G33" s="159"/>
      <c r="H33" s="159"/>
      <c r="I33" s="159"/>
    </row>
    <row r="34" spans="1:9" ht="12" customHeight="1" x14ac:dyDescent="0.25">
      <c r="A34" s="165"/>
      <c r="B34" s="166"/>
      <c r="C34" s="167"/>
      <c r="D34" s="167"/>
      <c r="E34" s="167"/>
      <c r="F34" s="167"/>
      <c r="G34" s="167"/>
      <c r="H34" s="167"/>
      <c r="I34" s="167"/>
    </row>
    <row r="35" spans="1:9" x14ac:dyDescent="0.25">
      <c r="A35" s="33" t="s">
        <v>4</v>
      </c>
      <c r="B35" s="34" t="s">
        <v>65</v>
      </c>
      <c r="C35" s="34">
        <v>680</v>
      </c>
      <c r="D35" s="38"/>
      <c r="E35" s="38"/>
      <c r="F35" s="38"/>
      <c r="G35" s="38"/>
      <c r="H35" s="38"/>
      <c r="I35" s="38"/>
    </row>
    <row r="36" spans="1:9" ht="9.75" customHeight="1" x14ac:dyDescent="0.25">
      <c r="A36" s="5"/>
      <c r="B36" s="164" t="s">
        <v>3</v>
      </c>
      <c r="C36" s="39"/>
      <c r="D36" s="38"/>
      <c r="E36" s="38"/>
      <c r="F36" s="38"/>
      <c r="G36" s="38"/>
      <c r="H36" s="38"/>
      <c r="I36" s="38"/>
    </row>
    <row r="37" spans="1:9" ht="12.75" customHeight="1" x14ac:dyDescent="0.25">
      <c r="A37" s="5"/>
      <c r="B37" s="164" t="s">
        <v>66</v>
      </c>
      <c r="C37" s="39">
        <v>455</v>
      </c>
      <c r="D37" s="38"/>
      <c r="E37" s="38"/>
      <c r="F37" s="38"/>
      <c r="G37" s="38"/>
      <c r="H37" s="38"/>
      <c r="I37" s="38"/>
    </row>
    <row r="38" spans="1:9" x14ac:dyDescent="0.25">
      <c r="A38" s="5"/>
      <c r="B38" s="164" t="s">
        <v>67</v>
      </c>
      <c r="C38" s="42">
        <v>225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C409B-6476-4AC9-90FD-BD9DF2AC63E7}">
  <dimension ref="A1:I38"/>
  <sheetViews>
    <sheetView topLeftCell="A16" workbookViewId="0">
      <selection activeCell="J37" sqref="J37"/>
    </sheetView>
  </sheetViews>
  <sheetFormatPr defaultRowHeight="15" x14ac:dyDescent="0.25"/>
  <cols>
    <col min="1" max="1" width="5.7109375" customWidth="1"/>
    <col min="2" max="2" width="35.140625" bestFit="1" customWidth="1"/>
  </cols>
  <sheetData>
    <row r="1" spans="1:9" x14ac:dyDescent="0.25">
      <c r="A1" s="33" t="s">
        <v>0</v>
      </c>
      <c r="B1" s="3"/>
      <c r="C1" s="3"/>
      <c r="D1" s="3"/>
      <c r="E1" s="3"/>
      <c r="F1" s="4"/>
      <c r="G1" s="3"/>
      <c r="H1" s="3"/>
      <c r="I1" s="146"/>
    </row>
    <row r="2" spans="1:9" ht="13.5" customHeight="1" x14ac:dyDescent="0.25">
      <c r="A2" s="5"/>
      <c r="B2" s="147" t="s">
        <v>88</v>
      </c>
      <c r="C2" s="3"/>
      <c r="D2" s="3"/>
      <c r="E2" s="3"/>
      <c r="F2" s="4"/>
      <c r="G2" s="3"/>
      <c r="H2" s="3"/>
      <c r="I2" s="146"/>
    </row>
    <row r="3" spans="1:9" ht="12.75" customHeight="1" x14ac:dyDescent="0.25">
      <c r="A3" s="8" t="s">
        <v>1</v>
      </c>
      <c r="B3" s="8"/>
      <c r="C3" s="148"/>
      <c r="D3" s="8"/>
      <c r="E3" s="8"/>
      <c r="F3" s="8"/>
      <c r="G3" s="8"/>
      <c r="H3" s="8"/>
      <c r="I3" s="149"/>
    </row>
    <row r="4" spans="1:9" ht="10.5" customHeight="1" x14ac:dyDescent="0.25"/>
    <row r="5" spans="1:9" ht="11.25" customHeight="1" x14ac:dyDescent="0.25">
      <c r="A5" s="10" t="s">
        <v>2</v>
      </c>
      <c r="B5" s="11"/>
      <c r="C5" s="11"/>
      <c r="D5" s="12" t="s">
        <v>3</v>
      </c>
      <c r="E5" s="13"/>
      <c r="F5" s="14"/>
      <c r="G5" s="13"/>
      <c r="H5" s="13"/>
      <c r="I5" s="15"/>
    </row>
    <row r="6" spans="1:9" ht="10.5" customHeight="1" x14ac:dyDescent="0.25">
      <c r="A6" s="150" t="s">
        <v>4</v>
      </c>
      <c r="B6" s="151" t="s">
        <v>5</v>
      </c>
      <c r="C6" s="152" t="s">
        <v>6</v>
      </c>
      <c r="D6" s="153" t="s">
        <v>7</v>
      </c>
      <c r="E6" s="154"/>
      <c r="F6" s="154"/>
      <c r="G6" s="155" t="s">
        <v>8</v>
      </c>
      <c r="H6" s="154"/>
      <c r="I6" s="154"/>
    </row>
    <row r="7" spans="1:9" ht="11.25" customHeight="1" x14ac:dyDescent="0.25">
      <c r="A7" s="156" t="s">
        <v>9</v>
      </c>
      <c r="B7" s="157"/>
      <c r="C7" s="157"/>
      <c r="D7" s="156" t="s">
        <v>10</v>
      </c>
      <c r="E7" s="156" t="s">
        <v>11</v>
      </c>
      <c r="F7" s="156" t="s">
        <v>12</v>
      </c>
      <c r="G7" s="156" t="s">
        <v>13</v>
      </c>
      <c r="H7" s="156" t="s">
        <v>11</v>
      </c>
      <c r="I7" s="156" t="s">
        <v>12</v>
      </c>
    </row>
    <row r="8" spans="1:9" ht="12.75" customHeight="1" x14ac:dyDescent="0.25">
      <c r="A8" s="156">
        <v>0</v>
      </c>
      <c r="B8" s="158" t="s">
        <v>14</v>
      </c>
      <c r="C8" s="159">
        <f>1367388</f>
        <v>1367388</v>
      </c>
      <c r="D8" s="160">
        <f>120315</f>
        <v>120315</v>
      </c>
      <c r="E8" s="159">
        <f>248634</f>
        <v>248634</v>
      </c>
      <c r="F8" s="159">
        <f>503836</f>
        <v>503836</v>
      </c>
      <c r="G8" s="159">
        <f>196489</f>
        <v>196489</v>
      </c>
      <c r="H8" s="159">
        <f>138218</f>
        <v>138218</v>
      </c>
      <c r="I8" s="159">
        <f>159896</f>
        <v>159896</v>
      </c>
    </row>
    <row r="9" spans="1:9" ht="12" customHeight="1" x14ac:dyDescent="0.25">
      <c r="A9" s="156" t="s">
        <v>15</v>
      </c>
      <c r="B9" s="161" t="s">
        <v>16</v>
      </c>
      <c r="C9" s="159">
        <f>759043</f>
        <v>759043</v>
      </c>
      <c r="D9" s="159">
        <f>30624</f>
        <v>30624</v>
      </c>
      <c r="E9" s="159">
        <f>248634</f>
        <v>248634</v>
      </c>
      <c r="F9" s="159">
        <f>477722</f>
        <v>477722</v>
      </c>
      <c r="G9" s="159">
        <f>2063</f>
        <v>2063</v>
      </c>
      <c r="H9" s="159"/>
      <c r="I9" s="159"/>
    </row>
    <row r="10" spans="1:9" ht="12" customHeight="1" x14ac:dyDescent="0.25">
      <c r="A10" s="156" t="s">
        <v>17</v>
      </c>
      <c r="B10" s="162" t="s">
        <v>18</v>
      </c>
      <c r="C10" s="159"/>
      <c r="D10" s="159"/>
      <c r="E10" s="159"/>
      <c r="F10" s="159"/>
      <c r="G10" s="159"/>
      <c r="H10" s="159"/>
      <c r="I10" s="159"/>
    </row>
    <row r="11" spans="1:9" ht="12" customHeight="1" x14ac:dyDescent="0.25">
      <c r="A11" s="156" t="s">
        <v>19</v>
      </c>
      <c r="B11" s="161" t="s">
        <v>20</v>
      </c>
      <c r="C11" s="159"/>
      <c r="D11" s="159"/>
      <c r="E11" s="159"/>
      <c r="F11" s="159"/>
      <c r="G11" s="159"/>
      <c r="H11" s="159"/>
      <c r="I11" s="159"/>
    </row>
    <row r="12" spans="1:9" ht="12" customHeight="1" x14ac:dyDescent="0.25">
      <c r="A12" s="156" t="s">
        <v>21</v>
      </c>
      <c r="B12" s="163" t="s">
        <v>22</v>
      </c>
      <c r="C12" s="159"/>
      <c r="D12" s="159"/>
      <c r="E12" s="159"/>
      <c r="F12" s="159"/>
      <c r="G12" s="159"/>
      <c r="H12" s="159"/>
      <c r="I12" s="159"/>
    </row>
    <row r="13" spans="1:9" ht="11.25" customHeight="1" x14ac:dyDescent="0.25">
      <c r="A13" s="156" t="s">
        <v>23</v>
      </c>
      <c r="B13" s="161" t="s">
        <v>24</v>
      </c>
      <c r="C13" s="159">
        <f>13080</f>
        <v>13080</v>
      </c>
      <c r="D13" s="159">
        <f>1687</f>
        <v>1687</v>
      </c>
      <c r="E13" s="159"/>
      <c r="F13" s="159">
        <f>11393</f>
        <v>11393</v>
      </c>
      <c r="G13" s="159"/>
      <c r="H13" s="159"/>
      <c r="I13" s="159"/>
    </row>
    <row r="14" spans="1:9" ht="12" customHeight="1" x14ac:dyDescent="0.25">
      <c r="A14" s="156" t="s">
        <v>25</v>
      </c>
      <c r="B14" s="161" t="s">
        <v>26</v>
      </c>
      <c r="C14" s="159">
        <f>12588</f>
        <v>12588</v>
      </c>
      <c r="D14" s="159"/>
      <c r="E14" s="159"/>
      <c r="F14" s="159"/>
      <c r="G14" s="159"/>
      <c r="H14" s="159">
        <f>5080</f>
        <v>5080</v>
      </c>
      <c r="I14" s="159">
        <f>7508</f>
        <v>7508</v>
      </c>
    </row>
    <row r="15" spans="1:9" ht="13.5" customHeight="1" x14ac:dyDescent="0.25">
      <c r="A15" s="156" t="s">
        <v>27</v>
      </c>
      <c r="B15" s="163" t="s">
        <v>28</v>
      </c>
      <c r="C15" s="159">
        <f>129764</f>
        <v>129764</v>
      </c>
      <c r="D15" s="159">
        <f>14267</f>
        <v>14267</v>
      </c>
      <c r="E15" s="159"/>
      <c r="F15" s="159"/>
      <c r="G15" s="159">
        <f>82984</f>
        <v>82984</v>
      </c>
      <c r="H15" s="159">
        <f>3152</f>
        <v>3152</v>
      </c>
      <c r="I15" s="159">
        <f>29361</f>
        <v>29361</v>
      </c>
    </row>
    <row r="16" spans="1:9" ht="10.5" customHeight="1" x14ac:dyDescent="0.25">
      <c r="A16" s="156" t="s">
        <v>29</v>
      </c>
      <c r="B16" s="161" t="s">
        <v>30</v>
      </c>
      <c r="C16" s="159">
        <f>181213</f>
        <v>181213</v>
      </c>
      <c r="D16" s="159"/>
      <c r="E16" s="159"/>
      <c r="F16" s="159"/>
      <c r="G16" s="159"/>
      <c r="H16" s="159">
        <f>129986</f>
        <v>129986</v>
      </c>
      <c r="I16" s="159">
        <f>51227</f>
        <v>51227</v>
      </c>
    </row>
    <row r="17" spans="1:9" ht="11.25" customHeight="1" x14ac:dyDescent="0.25">
      <c r="A17" s="156" t="s">
        <v>31</v>
      </c>
      <c r="B17" s="161" t="s">
        <v>32</v>
      </c>
      <c r="C17" s="159">
        <f>4284</f>
        <v>4284</v>
      </c>
      <c r="D17" s="159"/>
      <c r="E17" s="159"/>
      <c r="F17" s="159">
        <f>4284</f>
        <v>4284</v>
      </c>
      <c r="G17" s="159"/>
      <c r="H17" s="159"/>
      <c r="I17" s="159"/>
    </row>
    <row r="18" spans="1:9" ht="11.25" customHeight="1" x14ac:dyDescent="0.25">
      <c r="A18" s="156" t="s">
        <v>33</v>
      </c>
      <c r="B18" s="161" t="s">
        <v>34</v>
      </c>
      <c r="C18" s="159"/>
      <c r="D18" s="159"/>
      <c r="E18" s="159"/>
      <c r="F18" s="159"/>
      <c r="G18" s="159"/>
      <c r="H18" s="159"/>
      <c r="I18" s="159"/>
    </row>
    <row r="19" spans="1:9" ht="27" x14ac:dyDescent="0.25">
      <c r="A19" s="156" t="s">
        <v>35</v>
      </c>
      <c r="B19" s="163" t="s">
        <v>36</v>
      </c>
      <c r="C19" s="159"/>
      <c r="D19" s="159"/>
      <c r="E19" s="159"/>
      <c r="F19" s="159"/>
      <c r="G19" s="159"/>
      <c r="H19" s="159"/>
      <c r="I19" s="159"/>
    </row>
    <row r="20" spans="1:9" ht="13.5" customHeight="1" x14ac:dyDescent="0.25">
      <c r="A20" s="156" t="s">
        <v>37</v>
      </c>
      <c r="B20" s="161" t="s">
        <v>38</v>
      </c>
      <c r="C20" s="159"/>
      <c r="D20" s="159"/>
      <c r="E20" s="159"/>
      <c r="F20" s="159"/>
      <c r="G20" s="159"/>
      <c r="H20" s="159"/>
      <c r="I20" s="159"/>
    </row>
    <row r="21" spans="1:9" ht="12" customHeight="1" x14ac:dyDescent="0.25">
      <c r="A21" s="156" t="s">
        <v>39</v>
      </c>
      <c r="B21" s="161" t="s">
        <v>40</v>
      </c>
      <c r="C21" s="159"/>
      <c r="D21" s="159"/>
      <c r="E21" s="159"/>
      <c r="F21" s="159"/>
      <c r="G21" s="159"/>
      <c r="H21" s="159"/>
      <c r="I21" s="159"/>
    </row>
    <row r="22" spans="1:9" ht="13.5" customHeight="1" x14ac:dyDescent="0.25">
      <c r="A22" s="156" t="s">
        <v>41</v>
      </c>
      <c r="B22" s="161" t="s">
        <v>42</v>
      </c>
      <c r="C22" s="159"/>
      <c r="D22" s="159"/>
      <c r="E22" s="159"/>
      <c r="F22" s="159"/>
      <c r="G22" s="159"/>
      <c r="H22" s="159"/>
      <c r="I22" s="159"/>
    </row>
    <row r="23" spans="1:9" ht="12.75" customHeight="1" x14ac:dyDescent="0.25">
      <c r="A23" s="156" t="s">
        <v>43</v>
      </c>
      <c r="B23" s="161" t="s">
        <v>44</v>
      </c>
      <c r="C23" s="159">
        <f>188075</f>
        <v>188075</v>
      </c>
      <c r="D23" s="159">
        <f>61313</f>
        <v>61313</v>
      </c>
      <c r="E23" s="159"/>
      <c r="F23" s="159"/>
      <c r="G23" s="159">
        <f>65726</f>
        <v>65726</v>
      </c>
      <c r="H23" s="159"/>
      <c r="I23" s="159">
        <f>61036</f>
        <v>61036</v>
      </c>
    </row>
    <row r="24" spans="1:9" ht="12.75" customHeight="1" x14ac:dyDescent="0.25">
      <c r="A24" s="156" t="s">
        <v>45</v>
      </c>
      <c r="B24" s="161" t="s">
        <v>46</v>
      </c>
      <c r="C24" s="159"/>
      <c r="D24" s="159"/>
      <c r="E24" s="159"/>
      <c r="F24" s="159"/>
      <c r="G24" s="159"/>
      <c r="H24" s="159"/>
      <c r="I24" s="159"/>
    </row>
    <row r="25" spans="1:9" ht="11.25" customHeight="1" x14ac:dyDescent="0.25">
      <c r="A25" s="156" t="s">
        <v>47</v>
      </c>
      <c r="B25" s="161" t="s">
        <v>48</v>
      </c>
      <c r="C25" s="159"/>
      <c r="D25" s="159"/>
      <c r="E25" s="159"/>
      <c r="F25" s="159"/>
      <c r="G25" s="159"/>
      <c r="H25" s="159"/>
      <c r="I25" s="159"/>
    </row>
    <row r="26" spans="1:9" ht="12" customHeight="1" x14ac:dyDescent="0.25">
      <c r="A26" s="156" t="s">
        <v>49</v>
      </c>
      <c r="B26" s="161" t="s">
        <v>50</v>
      </c>
      <c r="C26" s="159">
        <f>7567</f>
        <v>7567</v>
      </c>
      <c r="D26" s="159"/>
      <c r="E26" s="159"/>
      <c r="F26" s="159"/>
      <c r="G26" s="159">
        <f>7567</f>
        <v>7567</v>
      </c>
      <c r="H26" s="159"/>
      <c r="I26" s="159"/>
    </row>
    <row r="27" spans="1:9" ht="12" customHeight="1" x14ac:dyDescent="0.25">
      <c r="A27" s="156" t="s">
        <v>51</v>
      </c>
      <c r="B27" s="161" t="s">
        <v>52</v>
      </c>
      <c r="C27" s="159"/>
      <c r="D27" s="159"/>
      <c r="E27" s="159"/>
      <c r="F27" s="159"/>
      <c r="G27" s="159"/>
      <c r="H27" s="159"/>
      <c r="I27" s="159"/>
    </row>
    <row r="28" spans="1:9" ht="12.75" customHeight="1" x14ac:dyDescent="0.25">
      <c r="A28" s="156" t="s">
        <v>53</v>
      </c>
      <c r="B28" s="161" t="s">
        <v>54</v>
      </c>
      <c r="C28" s="159">
        <f>1099</f>
        <v>1099</v>
      </c>
      <c r="D28" s="159"/>
      <c r="E28" s="159"/>
      <c r="F28" s="159"/>
      <c r="G28" s="159">
        <f>1099</f>
        <v>1099</v>
      </c>
      <c r="H28" s="159"/>
      <c r="I28" s="159"/>
    </row>
    <row r="29" spans="1:9" ht="11.25" customHeight="1" x14ac:dyDescent="0.25">
      <c r="A29" s="156" t="s">
        <v>55</v>
      </c>
      <c r="B29" s="161" t="s">
        <v>56</v>
      </c>
      <c r="C29" s="159">
        <f>70675</f>
        <v>70675</v>
      </c>
      <c r="D29" s="159">
        <v>12424</v>
      </c>
      <c r="E29" s="159"/>
      <c r="F29" s="159">
        <f>10437</f>
        <v>10437</v>
      </c>
      <c r="G29" s="159">
        <f>37050</f>
        <v>37050</v>
      </c>
      <c r="H29" s="159"/>
      <c r="I29" s="159">
        <f>10764</f>
        <v>10764</v>
      </c>
    </row>
    <row r="30" spans="1:9" ht="12" customHeight="1" x14ac:dyDescent="0.25">
      <c r="A30" s="156" t="s">
        <v>57</v>
      </c>
      <c r="B30" s="161" t="s">
        <v>58</v>
      </c>
      <c r="C30" s="159"/>
      <c r="D30" s="159"/>
      <c r="E30" s="159"/>
      <c r="F30" s="159"/>
      <c r="G30" s="159"/>
      <c r="H30" s="159"/>
      <c r="I30" s="159"/>
    </row>
    <row r="31" spans="1:9" ht="12.75" customHeight="1" x14ac:dyDescent="0.25">
      <c r="A31" s="156" t="s">
        <v>59</v>
      </c>
      <c r="B31" s="163" t="s">
        <v>60</v>
      </c>
      <c r="C31" s="159"/>
      <c r="D31" s="159"/>
      <c r="E31" s="159"/>
      <c r="F31" s="159"/>
      <c r="G31" s="159"/>
      <c r="H31" s="159"/>
      <c r="I31" s="159"/>
    </row>
    <row r="32" spans="1:9" ht="12" customHeight="1" x14ac:dyDescent="0.25">
      <c r="A32" s="156" t="s">
        <v>61</v>
      </c>
      <c r="B32" s="161" t="s">
        <v>62</v>
      </c>
      <c r="C32" s="159"/>
      <c r="D32" s="159"/>
      <c r="E32" s="159"/>
      <c r="F32" s="159"/>
      <c r="G32" s="159"/>
      <c r="H32" s="159"/>
      <c r="I32" s="159"/>
    </row>
    <row r="33" spans="1:9" ht="12" customHeight="1" x14ac:dyDescent="0.25">
      <c r="A33" s="156" t="s">
        <v>63</v>
      </c>
      <c r="B33" s="161" t="s">
        <v>64</v>
      </c>
      <c r="C33" s="159"/>
      <c r="D33" s="159"/>
      <c r="E33" s="159"/>
      <c r="F33" s="159"/>
      <c r="G33" s="159"/>
      <c r="H33" s="159"/>
      <c r="I33" s="159"/>
    </row>
    <row r="34" spans="1:9" ht="12" customHeight="1" x14ac:dyDescent="0.25">
      <c r="A34" s="165"/>
      <c r="B34" s="166"/>
      <c r="C34" s="167"/>
      <c r="D34" s="167"/>
      <c r="E34" s="167"/>
      <c r="F34" s="167"/>
      <c r="G34" s="167"/>
      <c r="H34" s="167"/>
      <c r="I34" s="167"/>
    </row>
    <row r="35" spans="1:9" x14ac:dyDescent="0.25">
      <c r="A35" s="33" t="s">
        <v>4</v>
      </c>
      <c r="B35" s="34" t="s">
        <v>65</v>
      </c>
      <c r="C35" s="34">
        <v>1143</v>
      </c>
      <c r="D35" s="38"/>
      <c r="E35" s="38"/>
      <c r="F35" s="38"/>
      <c r="G35" s="38"/>
      <c r="H35" s="38"/>
      <c r="I35" s="38"/>
    </row>
    <row r="36" spans="1:9" ht="9.75" customHeight="1" x14ac:dyDescent="0.25">
      <c r="A36" s="5"/>
      <c r="B36" s="164" t="s">
        <v>3</v>
      </c>
      <c r="C36" s="39"/>
      <c r="D36" s="38"/>
      <c r="E36" s="38"/>
      <c r="F36" s="38"/>
      <c r="G36" s="38"/>
      <c r="H36" s="38"/>
      <c r="I36" s="38"/>
    </row>
    <row r="37" spans="1:9" ht="12.75" customHeight="1" x14ac:dyDescent="0.25">
      <c r="A37" s="5"/>
      <c r="B37" s="164" t="s">
        <v>66</v>
      </c>
      <c r="C37" s="39">
        <v>702</v>
      </c>
      <c r="D37" s="38"/>
      <c r="E37" s="38"/>
      <c r="F37" s="38"/>
      <c r="G37" s="38"/>
      <c r="H37" s="38"/>
      <c r="I37" s="38"/>
    </row>
    <row r="38" spans="1:9" x14ac:dyDescent="0.25">
      <c r="A38" s="5"/>
      <c r="B38" s="164" t="s">
        <v>67</v>
      </c>
      <c r="C38" s="42">
        <f>178+124+139</f>
        <v>441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2208A-A221-43BB-88FB-332043F0BD47}">
  <dimension ref="A1:I39"/>
  <sheetViews>
    <sheetView tabSelected="1" topLeftCell="A19" workbookViewId="0">
      <selection activeCell="D37" sqref="D37"/>
    </sheetView>
  </sheetViews>
  <sheetFormatPr defaultRowHeight="15" x14ac:dyDescent="0.25"/>
  <cols>
    <col min="2" max="2" width="35.140625" bestFit="1" customWidth="1"/>
    <col min="3" max="3" width="9.85546875" customWidth="1"/>
  </cols>
  <sheetData>
    <row r="1" spans="1:9" x14ac:dyDescent="0.25">
      <c r="A1" s="33" t="s">
        <v>0</v>
      </c>
      <c r="B1" s="3"/>
      <c r="C1" s="3"/>
      <c r="D1" s="3"/>
      <c r="E1" s="3"/>
      <c r="F1" s="4"/>
      <c r="G1" s="3"/>
      <c r="H1" s="3"/>
      <c r="I1" s="146"/>
    </row>
    <row r="2" spans="1:9" ht="13.5" customHeight="1" x14ac:dyDescent="0.25">
      <c r="A2" s="5"/>
      <c r="B2" s="147" t="s">
        <v>89</v>
      </c>
      <c r="C2" s="3"/>
      <c r="D2" s="3"/>
      <c r="E2" s="3"/>
      <c r="F2" s="4"/>
      <c r="G2" s="3"/>
      <c r="H2" s="3"/>
      <c r="I2" s="146"/>
    </row>
    <row r="3" spans="1:9" ht="12.75" customHeight="1" x14ac:dyDescent="0.25">
      <c r="A3" s="8" t="s">
        <v>1</v>
      </c>
      <c r="B3" s="8"/>
      <c r="C3" s="148"/>
      <c r="D3" s="8"/>
      <c r="E3" s="8"/>
      <c r="F3" s="8"/>
      <c r="G3" s="8"/>
      <c r="H3" s="8"/>
      <c r="I3" s="149"/>
    </row>
    <row r="4" spans="1:9" ht="10.5" customHeight="1" x14ac:dyDescent="0.25"/>
    <row r="5" spans="1:9" ht="11.25" customHeight="1" x14ac:dyDescent="0.25">
      <c r="A5" s="10" t="s">
        <v>2</v>
      </c>
      <c r="B5" s="11"/>
      <c r="C5" s="11"/>
      <c r="D5" s="12" t="s">
        <v>3</v>
      </c>
      <c r="E5" s="13"/>
      <c r="F5" s="14"/>
      <c r="G5" s="13"/>
      <c r="H5" s="13"/>
      <c r="I5" s="15"/>
    </row>
    <row r="6" spans="1:9" ht="10.5" customHeight="1" x14ac:dyDescent="0.25">
      <c r="A6" s="150" t="s">
        <v>4</v>
      </c>
      <c r="B6" s="151" t="s">
        <v>5</v>
      </c>
      <c r="C6" s="152" t="s">
        <v>6</v>
      </c>
      <c r="D6" s="153" t="s">
        <v>7</v>
      </c>
      <c r="E6" s="154"/>
      <c r="F6" s="154"/>
      <c r="G6" s="155" t="s">
        <v>8</v>
      </c>
      <c r="H6" s="154"/>
      <c r="I6" s="154"/>
    </row>
    <row r="7" spans="1:9" ht="11.25" customHeight="1" x14ac:dyDescent="0.25">
      <c r="A7" s="156" t="s">
        <v>9</v>
      </c>
      <c r="B7" s="157"/>
      <c r="C7" s="157"/>
      <c r="D7" s="156" t="s">
        <v>10</v>
      </c>
      <c r="E7" s="156" t="s">
        <v>11</v>
      </c>
      <c r="F7" s="156" t="s">
        <v>12</v>
      </c>
      <c r="G7" s="156" t="s">
        <v>13</v>
      </c>
      <c r="H7" s="156" t="s">
        <v>11</v>
      </c>
      <c r="I7" s="156" t="s">
        <v>12</v>
      </c>
    </row>
    <row r="8" spans="1:9" ht="12.75" customHeight="1" x14ac:dyDescent="0.25">
      <c r="A8" s="156">
        <v>0</v>
      </c>
      <c r="B8" s="158" t="s">
        <v>14</v>
      </c>
      <c r="C8" s="159">
        <f>264199+230972+234889</f>
        <v>730060</v>
      </c>
      <c r="D8" s="160">
        <f>45891+23101+33246</f>
        <v>102238</v>
      </c>
      <c r="E8" s="159">
        <f>47428+27861+12436</f>
        <v>87725</v>
      </c>
      <c r="F8" s="159">
        <f>58214+69289+85299</f>
        <v>212802</v>
      </c>
      <c r="G8" s="159">
        <f>53141+51272+59851</f>
        <v>164264</v>
      </c>
      <c r="H8" s="159">
        <f>14641+28661+25159</f>
        <v>68461</v>
      </c>
      <c r="I8" s="159">
        <f>44884+30788+18898</f>
        <v>94570</v>
      </c>
    </row>
    <row r="9" spans="1:9" ht="12" customHeight="1" x14ac:dyDescent="0.25">
      <c r="A9" s="156" t="s">
        <v>15</v>
      </c>
      <c r="B9" s="161" t="s">
        <v>16</v>
      </c>
      <c r="C9" s="159">
        <f>127151+96716+106918</f>
        <v>330785</v>
      </c>
      <c r="D9" s="159">
        <f>19589+6437+16072</f>
        <v>42098</v>
      </c>
      <c r="E9" s="159">
        <f>47428+27861+12436</f>
        <v>87725</v>
      </c>
      <c r="F9" s="159">
        <f>53404+62418+78410</f>
        <v>194232</v>
      </c>
      <c r="G9" s="159"/>
      <c r="H9" s="159"/>
      <c r="I9" s="159">
        <f>6730</f>
        <v>6730</v>
      </c>
    </row>
    <row r="10" spans="1:9" ht="12" customHeight="1" x14ac:dyDescent="0.25">
      <c r="A10" s="156" t="s">
        <v>17</v>
      </c>
      <c r="B10" s="162" t="s">
        <v>18</v>
      </c>
      <c r="C10" s="159"/>
      <c r="D10" s="159"/>
      <c r="E10" s="159"/>
      <c r="F10" s="159"/>
      <c r="G10" s="159"/>
      <c r="H10" s="159"/>
      <c r="I10" s="159"/>
    </row>
    <row r="11" spans="1:9" ht="12" customHeight="1" x14ac:dyDescent="0.25">
      <c r="A11" s="156" t="s">
        <v>19</v>
      </c>
      <c r="B11" s="161" t="s">
        <v>20</v>
      </c>
      <c r="C11" s="159"/>
      <c r="D11" s="159"/>
      <c r="E11" s="159"/>
      <c r="F11" s="159"/>
      <c r="G11" s="159"/>
      <c r="H11" s="159"/>
      <c r="I11" s="159"/>
    </row>
    <row r="12" spans="1:9" ht="12" customHeight="1" x14ac:dyDescent="0.25">
      <c r="A12" s="156" t="s">
        <v>21</v>
      </c>
      <c r="B12" s="163" t="s">
        <v>22</v>
      </c>
      <c r="C12" s="159"/>
      <c r="D12" s="159"/>
      <c r="E12" s="159"/>
      <c r="F12" s="159"/>
      <c r="G12" s="159"/>
      <c r="H12" s="159"/>
      <c r="I12" s="159"/>
    </row>
    <row r="13" spans="1:9" ht="11.25" customHeight="1" x14ac:dyDescent="0.25">
      <c r="A13" s="156" t="s">
        <v>23</v>
      </c>
      <c r="B13" s="161" t="s">
        <v>24</v>
      </c>
      <c r="C13" s="159">
        <f>833+2257+3360</f>
        <v>6450</v>
      </c>
      <c r="D13" s="159">
        <f>2257+562</f>
        <v>2819</v>
      </c>
      <c r="E13" s="159"/>
      <c r="F13" s="159">
        <f>833+2798</f>
        <v>3631</v>
      </c>
      <c r="G13" s="159"/>
      <c r="H13" s="159"/>
      <c r="I13" s="159"/>
    </row>
    <row r="14" spans="1:9" ht="12" customHeight="1" x14ac:dyDescent="0.25">
      <c r="A14" s="156" t="s">
        <v>25</v>
      </c>
      <c r="B14" s="161" t="s">
        <v>26</v>
      </c>
      <c r="C14" s="159">
        <f>4011+4838+3519</f>
        <v>12368</v>
      </c>
      <c r="D14" s="159"/>
      <c r="E14" s="159"/>
      <c r="F14" s="159"/>
      <c r="G14" s="159"/>
      <c r="H14" s="159">
        <f>2340+1850+1470</f>
        <v>5660</v>
      </c>
      <c r="I14" s="159">
        <f>1671+2988+2049</f>
        <v>6708</v>
      </c>
    </row>
    <row r="15" spans="1:9" ht="13.5" customHeight="1" x14ac:dyDescent="0.25">
      <c r="A15" s="156" t="s">
        <v>27</v>
      </c>
      <c r="B15" s="163" t="s">
        <v>28</v>
      </c>
      <c r="C15" s="159">
        <f>15573+20199+22978</f>
        <v>58750</v>
      </c>
      <c r="D15" s="159">
        <f>495</f>
        <v>495</v>
      </c>
      <c r="E15" s="159"/>
      <c r="F15" s="159">
        <f>2014</f>
        <v>2014</v>
      </c>
      <c r="G15" s="159">
        <f>12557+18702+21992</f>
        <v>53251</v>
      </c>
      <c r="H15" s="159">
        <f>1002+1002</f>
        <v>2004</v>
      </c>
      <c r="I15" s="159">
        <f>986</f>
        <v>986</v>
      </c>
    </row>
    <row r="16" spans="1:9" ht="21" customHeight="1" x14ac:dyDescent="0.25">
      <c r="A16" s="156" t="s">
        <v>29</v>
      </c>
      <c r="B16" s="161" t="s">
        <v>30</v>
      </c>
      <c r="C16" s="159">
        <f>36910+37739+30905</f>
        <v>105554</v>
      </c>
      <c r="D16" s="159"/>
      <c r="E16" s="159"/>
      <c r="F16" s="159"/>
      <c r="G16" s="159">
        <f>6056</f>
        <v>6056</v>
      </c>
      <c r="H16" s="159">
        <f>11299+25809+23689</f>
        <v>60797</v>
      </c>
      <c r="I16" s="159">
        <f>19555+11930+7216</f>
        <v>38701</v>
      </c>
    </row>
    <row r="17" spans="1:9" ht="17.25" customHeight="1" x14ac:dyDescent="0.25">
      <c r="A17" s="156" t="s">
        <v>31</v>
      </c>
      <c r="B17" s="161" t="s">
        <v>32</v>
      </c>
      <c r="C17" s="159">
        <f>10321+6871+4091</f>
        <v>21283</v>
      </c>
      <c r="D17" s="159">
        <f>8673</f>
        <v>8673</v>
      </c>
      <c r="E17" s="159"/>
      <c r="F17" s="159">
        <f>1648+6871+4091</f>
        <v>12610</v>
      </c>
      <c r="G17" s="159"/>
      <c r="H17" s="159"/>
      <c r="I17" s="159"/>
    </row>
    <row r="18" spans="1:9" ht="11.25" customHeight="1" x14ac:dyDescent="0.25">
      <c r="A18" s="156" t="s">
        <v>33</v>
      </c>
      <c r="B18" s="161" t="s">
        <v>34</v>
      </c>
      <c r="C18" s="159">
        <f>4625</f>
        <v>4625</v>
      </c>
      <c r="D18" s="159"/>
      <c r="E18" s="159"/>
      <c r="F18" s="159"/>
      <c r="G18" s="159">
        <f>4625</f>
        <v>4625</v>
      </c>
      <c r="H18" s="159"/>
      <c r="I18" s="159"/>
    </row>
    <row r="19" spans="1:9" ht="27" x14ac:dyDescent="0.25">
      <c r="A19" s="156" t="s">
        <v>35</v>
      </c>
      <c r="B19" s="163" t="s">
        <v>36</v>
      </c>
      <c r="C19" s="159"/>
      <c r="D19" s="159"/>
      <c r="E19" s="159"/>
      <c r="F19" s="159"/>
      <c r="G19" s="159"/>
      <c r="H19" s="159"/>
      <c r="I19" s="159"/>
    </row>
    <row r="20" spans="1:9" ht="13.5" customHeight="1" x14ac:dyDescent="0.25">
      <c r="A20" s="156" t="s">
        <v>37</v>
      </c>
      <c r="B20" s="161" t="s">
        <v>38</v>
      </c>
      <c r="C20" s="159"/>
      <c r="D20" s="159"/>
      <c r="E20" s="159"/>
      <c r="F20" s="159"/>
      <c r="G20" s="159"/>
      <c r="H20" s="159"/>
      <c r="I20" s="159"/>
    </row>
    <row r="21" spans="1:9" ht="12" customHeight="1" x14ac:dyDescent="0.25">
      <c r="A21" s="156" t="s">
        <v>39</v>
      </c>
      <c r="B21" s="161" t="s">
        <v>40</v>
      </c>
      <c r="C21" s="159"/>
      <c r="D21" s="159"/>
      <c r="E21" s="159"/>
      <c r="F21" s="159"/>
      <c r="G21" s="159"/>
      <c r="H21" s="159"/>
      <c r="I21" s="159"/>
    </row>
    <row r="22" spans="1:9" ht="13.5" customHeight="1" x14ac:dyDescent="0.25">
      <c r="A22" s="156" t="s">
        <v>41</v>
      </c>
      <c r="B22" s="161" t="s">
        <v>42</v>
      </c>
      <c r="C22" s="159"/>
      <c r="D22" s="159"/>
      <c r="E22" s="159"/>
      <c r="F22" s="159"/>
      <c r="G22" s="159"/>
      <c r="H22" s="159"/>
      <c r="I22" s="159"/>
    </row>
    <row r="23" spans="1:9" ht="12.75" customHeight="1" x14ac:dyDescent="0.25">
      <c r="A23" s="156" t="s">
        <v>43</v>
      </c>
      <c r="B23" s="161" t="s">
        <v>44</v>
      </c>
      <c r="C23" s="159">
        <f>39183+46311+43507</f>
        <v>129001</v>
      </c>
      <c r="D23" s="159">
        <f>17629+13912+16612</f>
        <v>48153</v>
      </c>
      <c r="E23" s="159"/>
      <c r="F23" s="159"/>
      <c r="G23" s="159">
        <f>5543+16529+18919</f>
        <v>40991</v>
      </c>
      <c r="H23" s="159"/>
      <c r="I23" s="159">
        <f>16011+15870+7976</f>
        <v>39857</v>
      </c>
    </row>
    <row r="24" spans="1:9" ht="12.75" customHeight="1" x14ac:dyDescent="0.25">
      <c r="A24" s="156" t="s">
        <v>45</v>
      </c>
      <c r="B24" s="161" t="s">
        <v>46</v>
      </c>
      <c r="C24" s="159"/>
      <c r="D24" s="159"/>
      <c r="E24" s="159"/>
      <c r="F24" s="159"/>
      <c r="G24" s="159"/>
      <c r="H24" s="159"/>
      <c r="I24" s="159"/>
    </row>
    <row r="25" spans="1:9" ht="11.25" customHeight="1" x14ac:dyDescent="0.25">
      <c r="A25" s="156" t="s">
        <v>47</v>
      </c>
      <c r="B25" s="161" t="s">
        <v>48</v>
      </c>
      <c r="C25" s="159"/>
      <c r="D25" s="159"/>
      <c r="E25" s="159"/>
      <c r="F25" s="159"/>
      <c r="G25" s="159"/>
      <c r="H25" s="159"/>
      <c r="I25" s="159"/>
    </row>
    <row r="26" spans="1:9" ht="12" customHeight="1" x14ac:dyDescent="0.25">
      <c r="A26" s="156" t="s">
        <v>49</v>
      </c>
      <c r="B26" s="161" t="s">
        <v>50</v>
      </c>
      <c r="C26" s="159">
        <f>1232+3913+5272</f>
        <v>10417</v>
      </c>
      <c r="D26" s="159"/>
      <c r="E26" s="159"/>
      <c r="F26" s="159">
        <f>315</f>
        <v>315</v>
      </c>
      <c r="G26" s="159">
        <f>3913+5272</f>
        <v>9185</v>
      </c>
      <c r="H26" s="159"/>
      <c r="I26" s="159">
        <f>917</f>
        <v>917</v>
      </c>
    </row>
    <row r="27" spans="1:9" ht="12" customHeight="1" x14ac:dyDescent="0.25">
      <c r="A27" s="156" t="s">
        <v>51</v>
      </c>
      <c r="B27" s="161" t="s">
        <v>52</v>
      </c>
      <c r="C27" s="159"/>
      <c r="D27" s="159"/>
      <c r="E27" s="159"/>
      <c r="F27" s="159"/>
      <c r="G27" s="159"/>
      <c r="H27" s="159"/>
      <c r="I27" s="159"/>
    </row>
    <row r="28" spans="1:9" ht="12.75" customHeight="1" x14ac:dyDescent="0.25">
      <c r="A28" s="156" t="s">
        <v>53</v>
      </c>
      <c r="B28" s="161" t="s">
        <v>54</v>
      </c>
      <c r="C28" s="159"/>
      <c r="D28" s="159"/>
      <c r="E28" s="159"/>
      <c r="F28" s="159"/>
      <c r="G28" s="159"/>
      <c r="H28" s="159"/>
      <c r="I28" s="159"/>
    </row>
    <row r="29" spans="1:9" ht="11.25" customHeight="1" x14ac:dyDescent="0.25">
      <c r="A29" s="156" t="s">
        <v>55</v>
      </c>
      <c r="B29" s="161" t="s">
        <v>56</v>
      </c>
      <c r="C29" s="159">
        <f>27880+12128+8938</f>
        <v>48946</v>
      </c>
      <c r="D29" s="159"/>
      <c r="E29" s="159"/>
      <c r="F29" s="159"/>
      <c r="G29" s="159">
        <f>27880+12128+8938</f>
        <v>48946</v>
      </c>
      <c r="H29" s="159"/>
      <c r="I29" s="159"/>
    </row>
    <row r="30" spans="1:9" ht="12" customHeight="1" x14ac:dyDescent="0.25">
      <c r="A30" s="156" t="s">
        <v>57</v>
      </c>
      <c r="B30" s="161" t="s">
        <v>58</v>
      </c>
      <c r="C30" s="159">
        <f>105</f>
        <v>105</v>
      </c>
      <c r="D30" s="159"/>
      <c r="E30" s="159"/>
      <c r="F30" s="159"/>
      <c r="G30" s="159">
        <f>105</f>
        <v>105</v>
      </c>
      <c r="H30" s="159"/>
      <c r="I30" s="159"/>
    </row>
    <row r="31" spans="1:9" ht="12.75" customHeight="1" x14ac:dyDescent="0.25">
      <c r="A31" s="156" t="s">
        <v>59</v>
      </c>
      <c r="B31" s="163" t="s">
        <v>60</v>
      </c>
      <c r="C31" s="159"/>
      <c r="D31" s="159"/>
      <c r="E31" s="159"/>
      <c r="F31" s="159"/>
      <c r="G31" s="159"/>
      <c r="H31" s="159"/>
      <c r="I31" s="159"/>
    </row>
    <row r="32" spans="1:9" ht="12" customHeight="1" x14ac:dyDescent="0.25">
      <c r="A32" s="156" t="s">
        <v>61</v>
      </c>
      <c r="B32" s="161" t="s">
        <v>62</v>
      </c>
      <c r="C32" s="159">
        <f>1105+671</f>
        <v>1776</v>
      </c>
      <c r="D32" s="159"/>
      <c r="E32" s="159"/>
      <c r="F32" s="159"/>
      <c r="G32" s="159">
        <f>1105</f>
        <v>1105</v>
      </c>
      <c r="H32" s="159"/>
      <c r="I32" s="159">
        <f>671</f>
        <v>671</v>
      </c>
    </row>
    <row r="33" spans="1:9" ht="12" customHeight="1" x14ac:dyDescent="0.25">
      <c r="A33" s="156" t="s">
        <v>63</v>
      </c>
      <c r="B33" s="161" t="s">
        <v>64</v>
      </c>
      <c r="C33" s="159"/>
      <c r="D33" s="159"/>
      <c r="E33" s="159"/>
      <c r="F33" s="159"/>
      <c r="G33" s="159"/>
      <c r="H33" s="159"/>
      <c r="I33" s="159"/>
    </row>
    <row r="34" spans="1:9" ht="12" customHeight="1" x14ac:dyDescent="0.25">
      <c r="A34" s="165"/>
      <c r="B34" s="166"/>
      <c r="C34" s="167"/>
      <c r="D34" s="167"/>
      <c r="E34" s="167"/>
      <c r="F34" s="167"/>
      <c r="G34" s="167"/>
      <c r="H34" s="167"/>
      <c r="I34" s="167"/>
    </row>
    <row r="35" spans="1:9" ht="12" customHeight="1" x14ac:dyDescent="0.25">
      <c r="A35" s="165"/>
      <c r="B35" s="166"/>
      <c r="C35" s="167"/>
      <c r="D35" s="167"/>
      <c r="E35" s="167"/>
      <c r="F35" s="167"/>
      <c r="G35" s="167"/>
      <c r="H35" s="167"/>
      <c r="I35" s="167"/>
    </row>
    <row r="36" spans="1:9" x14ac:dyDescent="0.25">
      <c r="A36" s="33" t="s">
        <v>4</v>
      </c>
      <c r="B36" s="34" t="s">
        <v>65</v>
      </c>
      <c r="C36" s="34">
        <f>269+275+256</f>
        <v>800</v>
      </c>
      <c r="D36" s="38"/>
      <c r="E36" s="38"/>
      <c r="F36" s="38"/>
      <c r="G36" s="38"/>
      <c r="H36" s="38"/>
      <c r="I36" s="38"/>
    </row>
    <row r="37" spans="1:9" ht="9.75" customHeight="1" x14ac:dyDescent="0.25">
      <c r="A37" s="5"/>
      <c r="B37" s="164" t="s">
        <v>3</v>
      </c>
      <c r="C37" s="39"/>
      <c r="D37" s="38"/>
      <c r="E37" s="38"/>
      <c r="F37" s="38"/>
      <c r="G37" s="38"/>
      <c r="H37" s="38"/>
      <c r="I37" s="38"/>
    </row>
    <row r="38" spans="1:9" ht="12.75" customHeight="1" x14ac:dyDescent="0.25">
      <c r="A38" s="5"/>
      <c r="B38" s="164" t="s">
        <v>66</v>
      </c>
      <c r="C38" s="39">
        <f>182+171+155</f>
        <v>508</v>
      </c>
      <c r="D38" s="38"/>
      <c r="E38" s="38"/>
      <c r="F38" s="38"/>
      <c r="G38" s="38"/>
      <c r="H38" s="38"/>
      <c r="I38" s="38"/>
    </row>
    <row r="39" spans="1:9" x14ac:dyDescent="0.25">
      <c r="A39" s="5"/>
      <c r="B39" s="164" t="s">
        <v>67</v>
      </c>
      <c r="C39" s="42">
        <f>87+104+101</f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8"/>
  <sheetViews>
    <sheetView topLeftCell="A8" zoomScaleNormal="100" workbookViewId="0">
      <selection activeCell="K37" sqref="K37"/>
    </sheetView>
  </sheetViews>
  <sheetFormatPr defaultRowHeight="15" x14ac:dyDescent="0.25"/>
  <cols>
    <col min="1" max="1" width="5.7109375" customWidth="1"/>
    <col min="2" max="2" width="39.5703125" customWidth="1"/>
    <col min="3" max="3" width="12.85546875" customWidth="1"/>
    <col min="4" max="4" width="11.7109375" customWidth="1"/>
    <col min="5" max="5" width="11.5703125" customWidth="1"/>
    <col min="6" max="6" width="11.140625" customWidth="1"/>
  </cols>
  <sheetData>
    <row r="1" spans="1:9" x14ac:dyDescent="0.25">
      <c r="A1" s="1" t="s">
        <v>0</v>
      </c>
      <c r="B1" s="2"/>
      <c r="C1" s="3"/>
      <c r="D1" s="3"/>
      <c r="E1" s="3"/>
      <c r="F1" s="4"/>
      <c r="G1" s="3"/>
      <c r="H1" s="3"/>
      <c r="I1" s="4"/>
    </row>
    <row r="2" spans="1:9" x14ac:dyDescent="0.25">
      <c r="A2" s="6" t="s">
        <v>74</v>
      </c>
      <c r="B2" s="6"/>
      <c r="C2" s="3"/>
      <c r="D2" s="3"/>
      <c r="E2" s="3"/>
      <c r="F2" s="4"/>
      <c r="G2" s="3"/>
      <c r="H2" s="3"/>
      <c r="I2" s="4"/>
    </row>
    <row r="3" spans="1:9" x14ac:dyDescent="0.25">
      <c r="A3" s="8" t="s">
        <v>1</v>
      </c>
      <c r="B3" s="8"/>
      <c r="C3" s="8"/>
      <c r="D3" s="8"/>
      <c r="E3" s="8"/>
      <c r="F3" s="8"/>
      <c r="G3" s="8"/>
      <c r="H3" s="8"/>
      <c r="I3" s="8"/>
    </row>
    <row r="4" spans="1:9" x14ac:dyDescent="0.25">
      <c r="A4" s="9"/>
      <c r="B4" s="9"/>
      <c r="C4" s="9"/>
      <c r="D4" s="9"/>
      <c r="E4" s="9"/>
      <c r="F4" s="9"/>
      <c r="G4" s="9"/>
      <c r="H4" s="9"/>
      <c r="I4" s="9"/>
    </row>
    <row r="5" spans="1:9" ht="10.5" customHeight="1" x14ac:dyDescent="0.25">
      <c r="A5" s="10" t="s">
        <v>2</v>
      </c>
      <c r="B5" s="11"/>
      <c r="C5" s="11"/>
      <c r="D5" s="12" t="s">
        <v>3</v>
      </c>
      <c r="E5" s="13"/>
      <c r="F5" s="14"/>
      <c r="G5" s="13"/>
      <c r="H5" s="13"/>
      <c r="I5" s="15"/>
    </row>
    <row r="6" spans="1:9" ht="11.25" customHeight="1" x14ac:dyDescent="0.25">
      <c r="A6" s="16" t="s">
        <v>4</v>
      </c>
      <c r="B6" s="17" t="s">
        <v>5</v>
      </c>
      <c r="C6" s="18" t="s">
        <v>6</v>
      </c>
      <c r="D6" s="19" t="s">
        <v>7</v>
      </c>
      <c r="E6" s="20"/>
      <c r="F6" s="20"/>
      <c r="G6" s="21" t="s">
        <v>8</v>
      </c>
      <c r="H6" s="20"/>
      <c r="I6" s="20"/>
    </row>
    <row r="7" spans="1:9" ht="10.5" customHeight="1" x14ac:dyDescent="0.25">
      <c r="A7" s="22" t="s">
        <v>9</v>
      </c>
      <c r="B7" s="23"/>
      <c r="C7" s="23"/>
      <c r="D7" s="24" t="s">
        <v>10</v>
      </c>
      <c r="E7" s="24" t="s">
        <v>11</v>
      </c>
      <c r="F7" s="24" t="s">
        <v>12</v>
      </c>
      <c r="G7" s="24" t="s">
        <v>13</v>
      </c>
      <c r="H7" s="24" t="s">
        <v>11</v>
      </c>
      <c r="I7" s="24" t="s">
        <v>12</v>
      </c>
    </row>
    <row r="8" spans="1:9" ht="12" customHeight="1" x14ac:dyDescent="0.25">
      <c r="A8" s="24">
        <v>0</v>
      </c>
      <c r="B8" s="25" t="s">
        <v>14</v>
      </c>
      <c r="C8" s="26">
        <f>4304+11278+5949+9588+9478+12600+9824+8007+4227+4040+1996</f>
        <v>81291</v>
      </c>
      <c r="D8" s="26">
        <f>4304+184+1996</f>
        <v>6484</v>
      </c>
      <c r="E8" s="26"/>
      <c r="F8" s="26">
        <f>11277+5949+9588+9478+9824+4227+3857+576</f>
        <v>54776</v>
      </c>
      <c r="G8" s="26">
        <f>12024+8007</f>
        <v>20031</v>
      </c>
      <c r="H8" s="26"/>
      <c r="I8" s="26"/>
    </row>
    <row r="9" spans="1:9" ht="12.75" customHeight="1" x14ac:dyDescent="0.25">
      <c r="A9" s="24" t="s">
        <v>15</v>
      </c>
      <c r="B9" s="27" t="s">
        <v>16</v>
      </c>
      <c r="C9" s="26">
        <f>11277+4796+9588+9478+9824+3394+3857+1996</f>
        <v>54210</v>
      </c>
      <c r="D9" s="26">
        <f>1996</f>
        <v>1996</v>
      </c>
      <c r="E9" s="26"/>
      <c r="F9" s="26">
        <f>11277+4796+9588+9478+9824+3394+3857</f>
        <v>52214</v>
      </c>
      <c r="G9" s="26"/>
      <c r="H9" s="26"/>
      <c r="I9" s="26"/>
    </row>
    <row r="10" spans="1:9" ht="9.75" customHeight="1" x14ac:dyDescent="0.25">
      <c r="A10" s="24" t="s">
        <v>17</v>
      </c>
      <c r="B10" s="28" t="s">
        <v>18</v>
      </c>
      <c r="C10" s="26"/>
      <c r="D10" s="26"/>
      <c r="E10" s="26"/>
      <c r="F10" s="26"/>
      <c r="G10" s="26"/>
      <c r="H10" s="26"/>
      <c r="I10" s="26"/>
    </row>
    <row r="11" spans="1:9" ht="12" customHeight="1" x14ac:dyDescent="0.25">
      <c r="A11" s="24" t="s">
        <v>19</v>
      </c>
      <c r="B11" s="27" t="s">
        <v>20</v>
      </c>
      <c r="C11" s="26"/>
      <c r="D11" s="26"/>
      <c r="E11" s="26"/>
      <c r="F11" s="26"/>
      <c r="G11" s="26"/>
      <c r="H11" s="26"/>
      <c r="I11" s="26"/>
    </row>
    <row r="12" spans="1:9" ht="12" customHeight="1" x14ac:dyDescent="0.25">
      <c r="A12" s="24" t="s">
        <v>21</v>
      </c>
      <c r="B12" s="29" t="s">
        <v>22</v>
      </c>
      <c r="C12" s="26"/>
      <c r="D12" s="26"/>
      <c r="E12" s="26"/>
      <c r="F12" s="26"/>
      <c r="G12" s="26"/>
      <c r="H12" s="26"/>
      <c r="I12" s="26"/>
    </row>
    <row r="13" spans="1:9" ht="13.5" customHeight="1" x14ac:dyDescent="0.25">
      <c r="A13" s="24" t="s">
        <v>23</v>
      </c>
      <c r="B13" s="27" t="s">
        <v>24</v>
      </c>
      <c r="C13" s="26">
        <f>4304+1153+833+184</f>
        <v>6474</v>
      </c>
      <c r="D13" s="26">
        <f>4304+184</f>
        <v>4488</v>
      </c>
      <c r="E13" s="26"/>
      <c r="F13" s="26">
        <f>1153+833</f>
        <v>1986</v>
      </c>
      <c r="G13" s="26"/>
      <c r="H13" s="26"/>
      <c r="I13" s="26"/>
    </row>
    <row r="14" spans="1:9" ht="12" customHeight="1" x14ac:dyDescent="0.25">
      <c r="A14" s="24" t="s">
        <v>25</v>
      </c>
      <c r="B14" s="27" t="s">
        <v>26</v>
      </c>
      <c r="C14" s="26"/>
      <c r="D14" s="26"/>
      <c r="E14" s="26"/>
      <c r="F14" s="26"/>
      <c r="G14" s="26"/>
      <c r="H14" s="26"/>
      <c r="I14" s="26"/>
    </row>
    <row r="15" spans="1:9" x14ac:dyDescent="0.25">
      <c r="A15" s="24" t="s">
        <v>27</v>
      </c>
      <c r="B15" s="29" t="s">
        <v>28</v>
      </c>
      <c r="C15" s="26">
        <f>12024+8007</f>
        <v>20031</v>
      </c>
      <c r="D15" s="26"/>
      <c r="E15" s="26"/>
      <c r="G15" s="26">
        <f>12024+8007</f>
        <v>20031</v>
      </c>
      <c r="H15" s="26"/>
      <c r="I15" s="26"/>
    </row>
    <row r="16" spans="1:9" ht="27" x14ac:dyDescent="0.25">
      <c r="A16" s="24" t="s">
        <v>29</v>
      </c>
      <c r="B16" s="27" t="s">
        <v>30</v>
      </c>
      <c r="C16" s="26"/>
      <c r="D16" s="26"/>
      <c r="E16" s="26"/>
      <c r="F16" s="26"/>
      <c r="G16" s="26"/>
      <c r="H16" s="26"/>
      <c r="I16" s="26"/>
    </row>
    <row r="17" spans="1:13" x14ac:dyDescent="0.25">
      <c r="A17" s="24" t="s">
        <v>31</v>
      </c>
      <c r="B17" s="27" t="s">
        <v>32</v>
      </c>
      <c r="C17" s="26">
        <f>576</f>
        <v>576</v>
      </c>
      <c r="D17" s="26"/>
      <c r="E17" s="26"/>
      <c r="F17" s="26">
        <f>576</f>
        <v>576</v>
      </c>
      <c r="G17" s="26"/>
      <c r="H17" s="26"/>
      <c r="I17" s="26"/>
    </row>
    <row r="18" spans="1:13" ht="9.75" customHeight="1" x14ac:dyDescent="0.25">
      <c r="A18" s="24" t="s">
        <v>33</v>
      </c>
      <c r="B18" s="27" t="s">
        <v>34</v>
      </c>
      <c r="C18" s="26"/>
      <c r="D18" s="26"/>
      <c r="E18" s="26"/>
      <c r="F18" s="26"/>
      <c r="G18" s="26"/>
      <c r="H18" s="26"/>
      <c r="I18" s="26"/>
    </row>
    <row r="19" spans="1:13" ht="26.25" customHeight="1" x14ac:dyDescent="0.25">
      <c r="A19" s="24" t="s">
        <v>35</v>
      </c>
      <c r="B19" s="29" t="s">
        <v>36</v>
      </c>
      <c r="C19" s="26"/>
      <c r="D19" s="26"/>
      <c r="E19" s="26"/>
      <c r="F19" s="26"/>
      <c r="G19" s="26"/>
      <c r="H19" s="26"/>
      <c r="I19" s="26"/>
    </row>
    <row r="20" spans="1:13" ht="11.25" customHeight="1" x14ac:dyDescent="0.25">
      <c r="A20" s="24" t="s">
        <v>37</v>
      </c>
      <c r="B20" s="27" t="s">
        <v>38</v>
      </c>
      <c r="C20" s="26"/>
      <c r="D20" s="26"/>
      <c r="E20" s="26"/>
      <c r="F20" s="26"/>
      <c r="G20" s="26"/>
      <c r="H20" s="26"/>
      <c r="I20" s="26"/>
    </row>
    <row r="21" spans="1:13" ht="13.5" customHeight="1" x14ac:dyDescent="0.25">
      <c r="A21" s="24" t="s">
        <v>39</v>
      </c>
      <c r="B21" s="27" t="s">
        <v>40</v>
      </c>
      <c r="C21" s="26"/>
      <c r="D21" s="26"/>
      <c r="E21" s="26"/>
      <c r="F21" s="41"/>
      <c r="G21" s="26"/>
      <c r="H21" s="26"/>
      <c r="I21" s="26"/>
    </row>
    <row r="22" spans="1:13" ht="12" customHeight="1" x14ac:dyDescent="0.25">
      <c r="A22" s="24" t="s">
        <v>41</v>
      </c>
      <c r="B22" s="27" t="s">
        <v>42</v>
      </c>
      <c r="C22" s="26"/>
      <c r="D22" s="26"/>
      <c r="E22" s="26"/>
      <c r="F22" s="26"/>
      <c r="G22" s="26"/>
      <c r="H22" s="26"/>
      <c r="I22" s="26"/>
      <c r="M22" s="40"/>
    </row>
    <row r="23" spans="1:13" ht="11.25" customHeight="1" x14ac:dyDescent="0.25">
      <c r="A23" s="24" t="s">
        <v>43</v>
      </c>
      <c r="B23" s="27" t="s">
        <v>44</v>
      </c>
      <c r="C23" s="26"/>
      <c r="D23" s="26"/>
      <c r="E23" s="26"/>
      <c r="F23" s="26"/>
      <c r="G23" s="26"/>
      <c r="H23" s="26"/>
      <c r="I23" s="26"/>
    </row>
    <row r="24" spans="1:13" ht="11.25" customHeight="1" x14ac:dyDescent="0.25">
      <c r="A24" s="24" t="s">
        <v>45</v>
      </c>
      <c r="B24" s="27" t="s">
        <v>46</v>
      </c>
      <c r="C24" s="26"/>
      <c r="D24" s="26"/>
      <c r="E24" s="26"/>
      <c r="F24" s="26"/>
      <c r="G24" s="26"/>
      <c r="H24" s="26"/>
      <c r="I24" s="26"/>
    </row>
    <row r="25" spans="1:13" ht="11.25" customHeight="1" x14ac:dyDescent="0.25">
      <c r="A25" s="24" t="s">
        <v>47</v>
      </c>
      <c r="B25" s="27" t="s">
        <v>48</v>
      </c>
      <c r="C25" s="26"/>
      <c r="D25" s="26"/>
      <c r="E25" s="26"/>
      <c r="F25" s="26"/>
      <c r="G25" s="26"/>
      <c r="H25" s="26"/>
      <c r="I25" s="26"/>
    </row>
    <row r="26" spans="1:13" ht="14.25" customHeight="1" x14ac:dyDescent="0.25">
      <c r="A26" s="24" t="s">
        <v>49</v>
      </c>
      <c r="B26" s="27" t="s">
        <v>50</v>
      </c>
      <c r="C26" s="26"/>
      <c r="D26" s="26"/>
      <c r="E26" s="26"/>
      <c r="F26" s="26"/>
      <c r="G26" s="26"/>
      <c r="H26" s="26"/>
      <c r="I26" s="26"/>
    </row>
    <row r="27" spans="1:13" ht="14.25" customHeight="1" x14ac:dyDescent="0.25">
      <c r="A27" s="24" t="s">
        <v>51</v>
      </c>
      <c r="B27" s="27" t="s">
        <v>52</v>
      </c>
      <c r="C27" s="26"/>
      <c r="D27" s="26"/>
      <c r="E27" s="26"/>
      <c r="F27" s="26"/>
      <c r="G27" s="26"/>
      <c r="H27" s="26"/>
      <c r="I27" s="26"/>
    </row>
    <row r="28" spans="1:13" ht="12.75" customHeight="1" x14ac:dyDescent="0.25">
      <c r="A28" s="24" t="s">
        <v>53</v>
      </c>
      <c r="B28" s="27" t="s">
        <v>54</v>
      </c>
      <c r="C28" s="26"/>
      <c r="D28" s="26"/>
      <c r="E28" s="26"/>
      <c r="F28" s="26"/>
      <c r="G28" s="26"/>
      <c r="H28" s="26"/>
      <c r="I28" s="26"/>
    </row>
    <row r="29" spans="1:13" ht="12.75" customHeight="1" x14ac:dyDescent="0.25">
      <c r="A29" s="24" t="s">
        <v>55</v>
      </c>
      <c r="B29" s="27" t="s">
        <v>56</v>
      </c>
      <c r="C29" s="26"/>
      <c r="D29" s="26"/>
      <c r="E29" s="26"/>
      <c r="F29" s="26"/>
      <c r="G29" s="26"/>
      <c r="H29" s="26"/>
      <c r="I29" s="26"/>
    </row>
    <row r="30" spans="1:13" ht="12.75" customHeight="1" x14ac:dyDescent="0.25">
      <c r="A30" s="24" t="s">
        <v>57</v>
      </c>
      <c r="B30" s="27" t="s">
        <v>58</v>
      </c>
      <c r="C30" s="26"/>
      <c r="D30" s="26"/>
      <c r="E30" s="26"/>
      <c r="F30" s="26"/>
      <c r="G30" s="26"/>
      <c r="H30" s="26"/>
      <c r="I30" s="26"/>
    </row>
    <row r="31" spans="1:13" ht="12" customHeight="1" x14ac:dyDescent="0.25">
      <c r="A31" s="24" t="s">
        <v>59</v>
      </c>
      <c r="B31" s="29" t="s">
        <v>60</v>
      </c>
      <c r="C31" s="26"/>
      <c r="D31" s="26"/>
      <c r="E31" s="26"/>
      <c r="F31" s="26"/>
      <c r="G31" s="26"/>
      <c r="H31" s="26"/>
      <c r="I31" s="26"/>
    </row>
    <row r="32" spans="1:13" ht="11.25" customHeight="1" x14ac:dyDescent="0.25">
      <c r="A32" s="24" t="s">
        <v>61</v>
      </c>
      <c r="B32" s="27" t="s">
        <v>62</v>
      </c>
      <c r="C32" s="26"/>
      <c r="D32" s="26"/>
      <c r="E32" s="26"/>
      <c r="F32" s="26"/>
      <c r="G32" s="26"/>
      <c r="H32" s="26"/>
      <c r="I32" s="26"/>
    </row>
    <row r="33" spans="1:9" ht="12" customHeight="1" x14ac:dyDescent="0.25">
      <c r="A33" s="24" t="s">
        <v>63</v>
      </c>
      <c r="B33" s="27" t="s">
        <v>64</v>
      </c>
      <c r="C33" s="26"/>
      <c r="D33" s="26"/>
      <c r="E33" s="26"/>
      <c r="F33" s="26"/>
      <c r="G33" s="26"/>
      <c r="H33" s="26"/>
      <c r="I33" s="26"/>
    </row>
    <row r="34" spans="1:9" ht="12.75" customHeight="1" x14ac:dyDescent="0.25">
      <c r="A34" s="30"/>
      <c r="B34" s="34" t="s">
        <v>65</v>
      </c>
      <c r="C34" s="35">
        <f>4+10+5+8+8+2+6+4+5+2+2</f>
        <v>56</v>
      </c>
      <c r="D34" s="32"/>
      <c r="E34" s="32"/>
      <c r="F34" s="32"/>
      <c r="G34" s="32"/>
      <c r="H34" s="32"/>
      <c r="I34" s="32"/>
    </row>
    <row r="35" spans="1:9" ht="12" customHeight="1" x14ac:dyDescent="0.25">
      <c r="A35" s="33" t="s">
        <v>4</v>
      </c>
      <c r="B35" s="36" t="s">
        <v>3</v>
      </c>
      <c r="C35" s="37"/>
      <c r="D35" s="35"/>
      <c r="E35" s="35"/>
      <c r="F35" s="35"/>
      <c r="G35" s="35"/>
      <c r="H35" s="35"/>
      <c r="I35" s="35"/>
    </row>
    <row r="36" spans="1:9" ht="10.5" customHeight="1" x14ac:dyDescent="0.25">
      <c r="A36" s="5"/>
      <c r="B36" s="36" t="s">
        <v>66</v>
      </c>
      <c r="C36" s="39">
        <f>0+6+4+8+8+2+1+1+5+2+0</f>
        <v>37</v>
      </c>
      <c r="D36" s="38"/>
      <c r="E36" s="38"/>
      <c r="F36" s="38"/>
      <c r="G36" s="38"/>
      <c r="H36" s="38"/>
      <c r="I36" s="38"/>
    </row>
    <row r="37" spans="1:9" x14ac:dyDescent="0.25">
      <c r="A37" s="5"/>
      <c r="B37" s="36" t="s">
        <v>67</v>
      </c>
      <c r="C37" s="39">
        <f>4+4+1+0+5+3+0+0+2</f>
        <v>19</v>
      </c>
      <c r="D37" s="38"/>
      <c r="E37" s="38"/>
      <c r="F37" s="38"/>
      <c r="G37" s="38"/>
      <c r="H37" s="38"/>
      <c r="I37" s="38"/>
    </row>
    <row r="38" spans="1:9" x14ac:dyDescent="0.25">
      <c r="A38" s="5"/>
      <c r="D38" s="38"/>
      <c r="E38" s="38"/>
      <c r="F38" s="38"/>
      <c r="G38" s="38"/>
      <c r="H38" s="38"/>
      <c r="I38" s="38"/>
    </row>
  </sheetData>
  <pageMargins left="0.7" right="0.7" top="0.75" bottom="0.75" header="0.3" footer="0.3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39"/>
  <sheetViews>
    <sheetView topLeftCell="A5" zoomScaleNormal="100" workbookViewId="0">
      <selection activeCell="H38" sqref="H38"/>
    </sheetView>
  </sheetViews>
  <sheetFormatPr defaultRowHeight="15" x14ac:dyDescent="0.25"/>
  <cols>
    <col min="2" max="2" width="33.140625" customWidth="1"/>
    <col min="7" max="7" width="9.140625" style="145"/>
  </cols>
  <sheetData>
    <row r="1" spans="1:40" x14ac:dyDescent="0.25">
      <c r="A1" s="101" t="s">
        <v>0</v>
      </c>
      <c r="B1" s="102"/>
      <c r="C1" s="103"/>
      <c r="D1" s="103"/>
      <c r="E1" s="103"/>
      <c r="F1" s="104"/>
      <c r="G1" s="102"/>
      <c r="H1" s="103"/>
      <c r="I1" s="104"/>
    </row>
    <row r="2" spans="1:40" x14ac:dyDescent="0.25">
      <c r="A2" s="106" t="s">
        <v>84</v>
      </c>
      <c r="B2" s="106"/>
      <c r="C2" s="103"/>
      <c r="D2" s="107"/>
      <c r="E2" s="103"/>
      <c r="F2" s="104"/>
      <c r="G2" s="102"/>
      <c r="H2" s="103"/>
      <c r="I2" s="104"/>
    </row>
    <row r="3" spans="1:40" x14ac:dyDescent="0.25">
      <c r="A3" s="108" t="s">
        <v>1</v>
      </c>
      <c r="B3" s="108"/>
      <c r="C3" s="108"/>
      <c r="D3" s="108"/>
      <c r="E3" s="108"/>
      <c r="F3" s="108"/>
      <c r="G3" s="102"/>
      <c r="H3" s="103"/>
      <c r="I3" s="104"/>
    </row>
    <row r="4" spans="1:40" x14ac:dyDescent="0.25">
      <c r="A4" s="109" t="s">
        <v>2</v>
      </c>
      <c r="B4" s="110"/>
      <c r="C4" s="110"/>
      <c r="D4" s="111" t="s">
        <v>3</v>
      </c>
      <c r="E4" s="112"/>
      <c r="F4" s="113"/>
      <c r="G4" s="143"/>
      <c r="H4" s="114"/>
      <c r="I4" s="115"/>
    </row>
    <row r="5" spans="1:40" x14ac:dyDescent="0.25">
      <c r="A5" s="125" t="s">
        <v>4</v>
      </c>
      <c r="B5" s="126" t="s">
        <v>5</v>
      </c>
      <c r="C5" s="127" t="s">
        <v>6</v>
      </c>
      <c r="D5" s="128" t="s">
        <v>69</v>
      </c>
      <c r="E5" s="129"/>
      <c r="F5" s="129"/>
      <c r="G5" s="144"/>
      <c r="H5" s="130"/>
      <c r="I5" s="131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</row>
    <row r="6" spans="1:40" x14ac:dyDescent="0.25">
      <c r="A6" s="132" t="s">
        <v>9</v>
      </c>
      <c r="B6" s="133"/>
      <c r="C6" s="133"/>
      <c r="D6" s="134" t="s">
        <v>10</v>
      </c>
      <c r="E6" s="134" t="s">
        <v>11</v>
      </c>
      <c r="F6" s="134" t="s">
        <v>12</v>
      </c>
      <c r="G6" s="116" t="s">
        <v>13</v>
      </c>
      <c r="H6" s="134" t="s">
        <v>11</v>
      </c>
      <c r="I6" s="134" t="s">
        <v>12</v>
      </c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</row>
    <row r="7" spans="1:40" ht="12" customHeight="1" x14ac:dyDescent="0.25">
      <c r="A7" s="134">
        <v>0</v>
      </c>
      <c r="B7" s="135" t="s">
        <v>14</v>
      </c>
      <c r="C7" s="136">
        <f>11863+10757+15060+8298+8353+19136+12600+6010+8007+10212+8205+9681</f>
        <v>128182</v>
      </c>
      <c r="D7" s="136"/>
      <c r="E7" s="136"/>
      <c r="F7" s="136">
        <f>3475+1358+1993+1689+710+3009+576+1507+3794+1680</f>
        <v>19791</v>
      </c>
      <c r="G7" s="117">
        <f>8388+9399+13067+6609+7643+16127+12024+6010+8007+8705+4411+7330</f>
        <v>107720</v>
      </c>
      <c r="H7" s="136"/>
      <c r="I7" s="136">
        <v>671</v>
      </c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</row>
    <row r="8" spans="1:40" s="54" customFormat="1" ht="12.75" customHeight="1" x14ac:dyDescent="0.25">
      <c r="A8" s="134" t="s">
        <v>15</v>
      </c>
      <c r="B8" s="137" t="s">
        <v>16</v>
      </c>
      <c r="C8" s="136">
        <f>1507+1385</f>
        <v>2892</v>
      </c>
      <c r="D8" s="136"/>
      <c r="E8" s="136"/>
      <c r="F8" s="136">
        <f>1507+1385</f>
        <v>2892</v>
      </c>
      <c r="G8" s="117"/>
      <c r="H8" s="136"/>
      <c r="I8" s="136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</row>
    <row r="9" spans="1:40" ht="12" customHeight="1" x14ac:dyDescent="0.25">
      <c r="A9" s="134" t="s">
        <v>17</v>
      </c>
      <c r="B9" s="138" t="s">
        <v>18</v>
      </c>
      <c r="C9" s="136"/>
      <c r="D9" s="136"/>
      <c r="E9" s="136"/>
      <c r="F9" s="136"/>
      <c r="G9" s="117"/>
      <c r="H9" s="136"/>
      <c r="I9" s="136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</row>
    <row r="10" spans="1:40" ht="9.75" customHeight="1" x14ac:dyDescent="0.25">
      <c r="A10" s="134" t="s">
        <v>19</v>
      </c>
      <c r="B10" s="137" t="s">
        <v>20</v>
      </c>
      <c r="C10" s="136"/>
      <c r="D10" s="136"/>
      <c r="E10" s="136"/>
      <c r="F10" s="136"/>
      <c r="G10" s="117"/>
      <c r="H10" s="136"/>
      <c r="I10" s="136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</row>
    <row r="11" spans="1:40" ht="9.75" customHeight="1" x14ac:dyDescent="0.25">
      <c r="A11" s="134" t="s">
        <v>21</v>
      </c>
      <c r="B11" s="139" t="s">
        <v>22</v>
      </c>
      <c r="C11" s="136"/>
      <c r="D11" s="136"/>
      <c r="E11" s="136"/>
      <c r="F11" s="136"/>
      <c r="G11" s="117"/>
      <c r="H11" s="136"/>
      <c r="I11" s="136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</row>
    <row r="12" spans="1:40" ht="9" customHeight="1" x14ac:dyDescent="0.25">
      <c r="A12" s="134" t="s">
        <v>23</v>
      </c>
      <c r="B12" s="137" t="s">
        <v>24</v>
      </c>
      <c r="C12" s="136"/>
      <c r="D12" s="136"/>
      <c r="E12" s="136"/>
      <c r="F12" s="136"/>
      <c r="G12" s="117"/>
      <c r="H12" s="136"/>
      <c r="I12" s="136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</row>
    <row r="13" spans="1:40" ht="11.25" customHeight="1" x14ac:dyDescent="0.25">
      <c r="A13" s="134" t="s">
        <v>25</v>
      </c>
      <c r="B13" s="137" t="s">
        <v>26</v>
      </c>
      <c r="C13" s="136"/>
      <c r="D13" s="136"/>
      <c r="E13" s="136"/>
      <c r="F13" s="136"/>
      <c r="G13" s="117"/>
      <c r="H13" s="136"/>
      <c r="I13" s="136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</row>
    <row r="14" spans="1:40" s="54" customFormat="1" ht="10.5" customHeight="1" x14ac:dyDescent="0.25">
      <c r="A14" s="134" t="s">
        <v>27</v>
      </c>
      <c r="B14" s="139" t="s">
        <v>28</v>
      </c>
      <c r="C14" s="136">
        <f>2998+4904+8505+2002+3005+11518+12024+6010+8007+3001+4411+2705</f>
        <v>69090</v>
      </c>
      <c r="D14" s="136"/>
      <c r="E14" s="136"/>
      <c r="F14" s="136"/>
      <c r="G14" s="117">
        <f>2998+4904+8505+2002+3005+11518+12024+6010+8007+3001+4411+2705</f>
        <v>69090</v>
      </c>
      <c r="H14" s="136"/>
      <c r="I14" s="136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</row>
    <row r="15" spans="1:40" s="54" customFormat="1" ht="13.5" customHeight="1" x14ac:dyDescent="0.25">
      <c r="A15" s="134" t="s">
        <v>29</v>
      </c>
      <c r="B15" s="137" t="s">
        <v>30</v>
      </c>
      <c r="C15" s="136">
        <f>4495+4562+4607+4638+4609+4599</f>
        <v>27510</v>
      </c>
      <c r="D15" s="136"/>
      <c r="E15" s="136"/>
      <c r="F15" s="136"/>
      <c r="G15" s="117">
        <f>4495+4562+4607+4638+4609+4599</f>
        <v>27510</v>
      </c>
      <c r="H15" s="136"/>
      <c r="I15" s="136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</row>
    <row r="16" spans="1:40" s="55" customFormat="1" ht="11.25" customHeight="1" x14ac:dyDescent="0.25">
      <c r="A16" s="134" t="s">
        <v>31</v>
      </c>
      <c r="B16" s="137" t="s">
        <v>32</v>
      </c>
      <c r="C16" s="136">
        <f>2090+1358+1993+1689+710+3009+576+3794+1680</f>
        <v>16899</v>
      </c>
      <c r="D16" s="136"/>
      <c r="E16" s="136"/>
      <c r="F16" s="136">
        <f>2090+1358+1993+1689+710+3009+576+3794+1680</f>
        <v>16899</v>
      </c>
      <c r="G16" s="117"/>
      <c r="H16" s="136"/>
      <c r="I16" s="136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</row>
    <row r="17" spans="1:40" ht="13.5" customHeight="1" x14ac:dyDescent="0.25">
      <c r="A17" s="134" t="s">
        <v>33</v>
      </c>
      <c r="B17" s="137" t="s">
        <v>34</v>
      </c>
      <c r="C17" s="136">
        <f>4460+4625</f>
        <v>9085</v>
      </c>
      <c r="D17" s="136"/>
      <c r="E17" s="136"/>
      <c r="F17" s="136"/>
      <c r="G17" s="117">
        <f>4460+4625</f>
        <v>9085</v>
      </c>
      <c r="H17" s="136"/>
      <c r="I17" s="136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</row>
    <row r="18" spans="1:40" ht="11.25" customHeight="1" x14ac:dyDescent="0.25">
      <c r="A18" s="116" t="s">
        <v>35</v>
      </c>
      <c r="B18" s="119" t="s">
        <v>36</v>
      </c>
      <c r="C18" s="117"/>
      <c r="D18" s="117"/>
      <c r="E18" s="117"/>
      <c r="F18" s="117"/>
      <c r="G18" s="117"/>
      <c r="H18" s="117"/>
      <c r="I18" s="117"/>
    </row>
    <row r="19" spans="1:40" ht="10.5" customHeight="1" x14ac:dyDescent="0.25">
      <c r="A19" s="116" t="s">
        <v>37</v>
      </c>
      <c r="B19" s="118" t="s">
        <v>38</v>
      </c>
      <c r="C19" s="117"/>
      <c r="D19" s="117"/>
      <c r="E19" s="117"/>
      <c r="F19" s="117"/>
      <c r="G19" s="117"/>
      <c r="H19" s="117"/>
      <c r="I19" s="117"/>
    </row>
    <row r="20" spans="1:40" ht="13.5" customHeight="1" x14ac:dyDescent="0.25">
      <c r="A20" s="116" t="s">
        <v>39</v>
      </c>
      <c r="B20" s="118" t="s">
        <v>40</v>
      </c>
      <c r="C20" s="117"/>
      <c r="D20" s="117"/>
      <c r="E20" s="117"/>
      <c r="F20" s="117"/>
      <c r="G20" s="117"/>
      <c r="H20" s="117"/>
      <c r="I20" s="117"/>
    </row>
    <row r="21" spans="1:40" ht="9" customHeight="1" x14ac:dyDescent="0.25">
      <c r="A21" s="116" t="s">
        <v>41</v>
      </c>
      <c r="B21" s="118" t="s">
        <v>42</v>
      </c>
      <c r="C21" s="117"/>
      <c r="D21" s="117"/>
      <c r="E21" s="117"/>
      <c r="F21" s="117"/>
      <c r="G21" s="117"/>
      <c r="H21" s="117"/>
      <c r="I21" s="117"/>
    </row>
    <row r="22" spans="1:40" ht="9.75" customHeight="1" x14ac:dyDescent="0.25">
      <c r="A22" s="116" t="s">
        <v>43</v>
      </c>
      <c r="B22" s="118" t="s">
        <v>44</v>
      </c>
      <c r="C22" s="117"/>
      <c r="D22" s="117"/>
      <c r="E22" s="117"/>
      <c r="F22" s="117"/>
      <c r="G22" s="117"/>
      <c r="H22" s="117"/>
      <c r="I22" s="117"/>
    </row>
    <row r="23" spans="1:40" ht="11.25" customHeight="1" x14ac:dyDescent="0.25">
      <c r="A23" s="116" t="s">
        <v>45</v>
      </c>
      <c r="B23" s="118" t="s">
        <v>46</v>
      </c>
      <c r="C23" s="117"/>
      <c r="D23" s="117"/>
      <c r="E23" s="117"/>
      <c r="F23" s="117" t="s">
        <v>72</v>
      </c>
      <c r="G23" s="117"/>
      <c r="H23" s="117"/>
      <c r="I23" s="117"/>
    </row>
    <row r="24" spans="1:40" ht="11.25" customHeight="1" x14ac:dyDescent="0.25">
      <c r="A24" s="116" t="s">
        <v>47</v>
      </c>
      <c r="B24" s="118" t="s">
        <v>48</v>
      </c>
      <c r="C24" s="117"/>
      <c r="D24" s="117"/>
      <c r="E24" s="117"/>
      <c r="F24" s="117"/>
      <c r="G24" s="117"/>
      <c r="H24" s="117"/>
      <c r="I24" s="117"/>
      <c r="L24" s="40"/>
    </row>
    <row r="25" spans="1:40" ht="11.25" customHeight="1" x14ac:dyDescent="0.25">
      <c r="A25" s="116" t="s">
        <v>49</v>
      </c>
      <c r="B25" s="118" t="s">
        <v>50</v>
      </c>
      <c r="C25" s="117"/>
      <c r="D25" s="117"/>
      <c r="E25" s="117"/>
      <c r="F25" s="117"/>
      <c r="G25" s="117"/>
      <c r="H25" s="117"/>
      <c r="I25" s="117"/>
    </row>
    <row r="26" spans="1:40" ht="10.5" customHeight="1" x14ac:dyDescent="0.25">
      <c r="A26" s="116" t="s">
        <v>51</v>
      </c>
      <c r="B26" s="118" t="s">
        <v>52</v>
      </c>
      <c r="C26" s="117"/>
      <c r="D26" s="117"/>
      <c r="E26" s="117"/>
      <c r="F26" s="117"/>
      <c r="G26" s="117"/>
      <c r="H26" s="117"/>
      <c r="I26" s="117"/>
    </row>
    <row r="27" spans="1:40" ht="10.5" customHeight="1" x14ac:dyDescent="0.25">
      <c r="A27" s="116" t="s">
        <v>53</v>
      </c>
      <c r="B27" s="118" t="s">
        <v>54</v>
      </c>
      <c r="C27" s="117">
        <f>930</f>
        <v>930</v>
      </c>
      <c r="D27" s="117"/>
      <c r="E27" s="117"/>
      <c r="F27" s="117"/>
      <c r="G27" s="117">
        <f>930</f>
        <v>930</v>
      </c>
      <c r="H27" s="117"/>
      <c r="I27" s="117"/>
    </row>
    <row r="28" spans="1:40" ht="11.25" customHeight="1" x14ac:dyDescent="0.25">
      <c r="A28" s="116" t="s">
        <v>55</v>
      </c>
      <c r="B28" s="118" t="s">
        <v>56</v>
      </c>
      <c r="C28" s="117"/>
      <c r="D28" s="117"/>
      <c r="E28" s="117"/>
      <c r="F28" s="117"/>
      <c r="G28" s="117"/>
      <c r="H28" s="117"/>
      <c r="I28" s="117"/>
    </row>
    <row r="29" spans="1:40" ht="9.75" customHeight="1" x14ac:dyDescent="0.25">
      <c r="A29" s="116" t="s">
        <v>57</v>
      </c>
      <c r="B29" s="118" t="s">
        <v>58</v>
      </c>
      <c r="C29" s="117"/>
      <c r="D29" s="117"/>
      <c r="E29" s="117"/>
      <c r="F29" s="117"/>
      <c r="G29" s="117"/>
      <c r="H29" s="117"/>
      <c r="I29" s="117"/>
    </row>
    <row r="30" spans="1:40" ht="11.25" customHeight="1" x14ac:dyDescent="0.25">
      <c r="A30" s="116" t="s">
        <v>59</v>
      </c>
      <c r="B30" s="119" t="s">
        <v>60</v>
      </c>
      <c r="C30" s="117"/>
      <c r="D30" s="117"/>
      <c r="E30" s="117"/>
      <c r="F30" s="117"/>
      <c r="G30" s="117"/>
      <c r="H30" s="117"/>
      <c r="I30" s="117"/>
    </row>
    <row r="31" spans="1:40" ht="10.5" customHeight="1" x14ac:dyDescent="0.25">
      <c r="A31" s="116" t="s">
        <v>61</v>
      </c>
      <c r="B31" s="118" t="s">
        <v>62</v>
      </c>
      <c r="C31" s="117">
        <f>1105+671</f>
        <v>1776</v>
      </c>
      <c r="D31" s="117"/>
      <c r="E31" s="117"/>
      <c r="F31" s="117"/>
      <c r="G31" s="117">
        <f>1105</f>
        <v>1105</v>
      </c>
      <c r="H31" s="117"/>
      <c r="I31" s="117">
        <v>671</v>
      </c>
    </row>
    <row r="32" spans="1:40" ht="12" customHeight="1" x14ac:dyDescent="0.25">
      <c r="A32" s="116" t="s">
        <v>63</v>
      </c>
      <c r="B32" s="118" t="s">
        <v>64</v>
      </c>
      <c r="C32" s="117"/>
      <c r="D32" s="117"/>
      <c r="E32" s="117"/>
      <c r="F32" s="117"/>
      <c r="G32" s="117"/>
      <c r="H32" s="120"/>
      <c r="I32" s="120"/>
    </row>
    <row r="33" spans="1:9" ht="12" customHeight="1" x14ac:dyDescent="0.25">
      <c r="A33" s="121"/>
      <c r="B33" s="140"/>
      <c r="C33" s="95"/>
      <c r="D33" s="95"/>
      <c r="E33" s="95"/>
      <c r="F33" s="95"/>
      <c r="G33" s="95"/>
      <c r="H33" s="141"/>
      <c r="I33" s="141"/>
    </row>
    <row r="34" spans="1:9" ht="12.75" customHeight="1" x14ac:dyDescent="0.25">
      <c r="A34" s="121"/>
      <c r="B34" s="93" t="s">
        <v>65</v>
      </c>
      <c r="C34" s="94">
        <f>13+10+14+7+7+18+13+6+9+9+11+10</f>
        <v>127</v>
      </c>
      <c r="D34" s="95"/>
      <c r="E34" s="94"/>
      <c r="F34" s="94"/>
      <c r="G34" s="94"/>
      <c r="H34" s="100"/>
      <c r="I34" s="100"/>
    </row>
    <row r="35" spans="1:9" ht="12.75" customHeight="1" x14ac:dyDescent="0.25">
      <c r="A35" s="122" t="s">
        <v>4</v>
      </c>
      <c r="B35" s="96" t="s">
        <v>3</v>
      </c>
      <c r="C35" s="97"/>
      <c r="D35" s="94"/>
      <c r="E35" s="99"/>
      <c r="F35" s="99"/>
      <c r="G35" s="94"/>
      <c r="H35" s="100"/>
      <c r="I35" s="100"/>
    </row>
    <row r="36" spans="1:9" ht="12.75" customHeight="1" x14ac:dyDescent="0.25">
      <c r="A36" s="105"/>
      <c r="B36" s="96" t="s">
        <v>66</v>
      </c>
      <c r="C36" s="98">
        <f>6+3+8+3+2+6+5+1+3+0+3+3</f>
        <v>43</v>
      </c>
      <c r="D36" s="99"/>
      <c r="E36" s="99"/>
      <c r="F36" s="99"/>
      <c r="G36" s="94"/>
      <c r="H36" s="99"/>
      <c r="I36" s="99"/>
    </row>
    <row r="37" spans="1:9" ht="12.75" customHeight="1" x14ac:dyDescent="0.25">
      <c r="A37" s="105"/>
      <c r="B37" s="96" t="s">
        <v>67</v>
      </c>
      <c r="C37" s="98">
        <f>7+7+6+4+5+12+8+5+6+9+8+7</f>
        <v>84</v>
      </c>
      <c r="D37" s="99"/>
      <c r="E37" s="99"/>
      <c r="F37" s="99"/>
      <c r="G37" s="94"/>
      <c r="H37" s="99"/>
      <c r="I37" s="99"/>
    </row>
    <row r="38" spans="1:9" ht="11.25" customHeight="1" x14ac:dyDescent="0.25">
      <c r="A38" s="46"/>
      <c r="B38" s="43"/>
      <c r="C38" s="43"/>
      <c r="D38" s="38"/>
      <c r="E38" s="45"/>
      <c r="F38" s="45"/>
    </row>
    <row r="39" spans="1:9" x14ac:dyDescent="0.25">
      <c r="B39" s="43"/>
      <c r="C39" s="43"/>
      <c r="D39" s="43"/>
    </row>
  </sheetData>
  <pageMargins left="0.7" right="0.7" top="0.75" bottom="0.75" header="0.3" footer="0.3"/>
  <pageSetup paperSize="9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45"/>
  <sheetViews>
    <sheetView topLeftCell="A16" zoomScaleNormal="100" workbookViewId="0">
      <selection activeCell="F42" sqref="F42"/>
    </sheetView>
  </sheetViews>
  <sheetFormatPr defaultRowHeight="15" x14ac:dyDescent="0.25"/>
  <cols>
    <col min="2" max="2" width="36.7109375" customWidth="1"/>
    <col min="3" max="3" width="10.28515625" customWidth="1"/>
    <col min="4" max="4" width="10.5703125" customWidth="1"/>
    <col min="7" max="7" width="10.140625" customWidth="1"/>
    <col min="8" max="8" width="9" customWidth="1"/>
    <col min="9" max="9" width="9.42578125" customWidth="1"/>
  </cols>
  <sheetData>
    <row r="1" spans="1:10" hidden="1" x14ac:dyDescent="0.25">
      <c r="A1" s="47"/>
      <c r="B1" s="47"/>
      <c r="C1" s="47"/>
      <c r="D1" s="47"/>
      <c r="E1" s="47"/>
      <c r="F1" s="47"/>
      <c r="G1" s="47"/>
      <c r="H1" s="47"/>
      <c r="I1" s="47"/>
    </row>
    <row r="2" spans="1:10" hidden="1" x14ac:dyDescent="0.25">
      <c r="A2" s="47"/>
      <c r="B2" s="47"/>
      <c r="C2" s="47"/>
      <c r="D2" s="47"/>
      <c r="E2" s="47"/>
      <c r="F2" s="47"/>
      <c r="G2" s="47"/>
      <c r="H2" s="47"/>
      <c r="I2" s="47"/>
    </row>
    <row r="3" spans="1:10" ht="11.25" customHeight="1" x14ac:dyDescent="0.25">
      <c r="A3" s="61" t="s">
        <v>0</v>
      </c>
      <c r="B3" s="62"/>
      <c r="C3" s="63"/>
      <c r="D3" s="63"/>
      <c r="E3" s="63"/>
      <c r="F3" s="64"/>
      <c r="G3" s="63"/>
      <c r="H3" s="63"/>
      <c r="I3" s="64"/>
      <c r="J3" s="43"/>
    </row>
    <row r="4" spans="1:10" ht="14.25" customHeight="1" x14ac:dyDescent="0.25">
      <c r="A4" s="65" t="s">
        <v>71</v>
      </c>
      <c r="B4" s="65" t="s">
        <v>83</v>
      </c>
      <c r="C4" s="63"/>
      <c r="D4" s="63"/>
      <c r="E4" s="63"/>
      <c r="F4" s="64"/>
      <c r="G4" s="63"/>
      <c r="H4" s="63"/>
      <c r="I4" s="64"/>
      <c r="J4" s="43"/>
    </row>
    <row r="5" spans="1:10" hidden="1" x14ac:dyDescent="0.25">
      <c r="A5" s="66"/>
      <c r="B5" s="62"/>
      <c r="C5" s="63"/>
      <c r="D5" s="63"/>
      <c r="E5" s="63"/>
      <c r="F5" s="64"/>
      <c r="G5" s="63"/>
      <c r="H5" s="63"/>
      <c r="I5" s="64"/>
      <c r="J5" s="43"/>
    </row>
    <row r="6" spans="1:10" ht="12" customHeight="1" x14ac:dyDescent="0.25">
      <c r="A6" s="67" t="s">
        <v>1</v>
      </c>
      <c r="B6" s="67"/>
      <c r="C6" s="67"/>
      <c r="D6" s="67"/>
      <c r="E6" s="67"/>
      <c r="F6" s="67"/>
      <c r="G6" s="67"/>
      <c r="H6" s="67"/>
      <c r="I6" s="67"/>
      <c r="J6" s="43"/>
    </row>
    <row r="7" spans="1:10" hidden="1" x14ac:dyDescent="0.25">
      <c r="A7" s="68"/>
      <c r="B7" s="68"/>
      <c r="C7" s="68"/>
      <c r="D7" s="68"/>
      <c r="E7" s="68"/>
      <c r="F7" s="68"/>
      <c r="G7" s="68"/>
      <c r="H7" s="68"/>
      <c r="I7" s="68"/>
      <c r="J7" s="43"/>
    </row>
    <row r="8" spans="1:10" ht="11.25" customHeight="1" x14ac:dyDescent="0.25">
      <c r="A8" s="69" t="s">
        <v>2</v>
      </c>
      <c r="B8" s="70"/>
      <c r="C8" s="70"/>
      <c r="D8" s="71" t="s">
        <v>3</v>
      </c>
      <c r="E8" s="72"/>
      <c r="F8" s="73"/>
      <c r="G8" s="72"/>
      <c r="H8" s="72"/>
      <c r="I8" s="74"/>
      <c r="J8" s="43"/>
    </row>
    <row r="9" spans="1:10" ht="10.5" customHeight="1" x14ac:dyDescent="0.25">
      <c r="A9" s="75" t="s">
        <v>4</v>
      </c>
      <c r="B9" s="76" t="s">
        <v>5</v>
      </c>
      <c r="C9" s="77" t="s">
        <v>6</v>
      </c>
      <c r="D9" s="78" t="s">
        <v>7</v>
      </c>
      <c r="E9" s="79"/>
      <c r="F9" s="79"/>
      <c r="G9" s="80" t="s">
        <v>8</v>
      </c>
      <c r="H9" s="79"/>
      <c r="I9" s="79"/>
      <c r="J9" s="43"/>
    </row>
    <row r="10" spans="1:10" ht="11.25" customHeight="1" x14ac:dyDescent="0.25">
      <c r="A10" s="81" t="s">
        <v>9</v>
      </c>
      <c r="B10" s="82"/>
      <c r="C10" s="82"/>
      <c r="D10" s="83" t="s">
        <v>10</v>
      </c>
      <c r="E10" s="83" t="s">
        <v>11</v>
      </c>
      <c r="F10" s="83" t="s">
        <v>12</v>
      </c>
      <c r="G10" s="83" t="s">
        <v>13</v>
      </c>
      <c r="H10" s="83" t="s">
        <v>11</v>
      </c>
      <c r="I10" s="83" t="s">
        <v>12</v>
      </c>
      <c r="J10" s="43"/>
    </row>
    <row r="11" spans="1:10" ht="11.25" customHeight="1" x14ac:dyDescent="0.25">
      <c r="A11" s="83">
        <v>0</v>
      </c>
      <c r="B11" s="84" t="s">
        <v>14</v>
      </c>
      <c r="C11" s="123">
        <f>26457+34272+31950+29786+34272+33961+39724+50083+40490+43025+25041+31584</f>
        <v>420645</v>
      </c>
      <c r="D11" s="123">
        <f>15145+10706+12703+8563+12929+11761+14999+38112+15415+26302+13912+16612</f>
        <v>197159</v>
      </c>
      <c r="E11" s="123"/>
      <c r="F11" s="123">
        <f>3700+3251+3322+4490+3391+3869+3708+1648+3077+2411</f>
        <v>32867</v>
      </c>
      <c r="G11" s="123">
        <f>7612+20316+15925+16733+17952+18331+21017+11971+25075+15074+8053+12560</f>
        <v>190619</v>
      </c>
      <c r="H11" s="123"/>
      <c r="I11" s="123"/>
      <c r="J11" s="124"/>
    </row>
    <row r="12" spans="1:10" ht="10.5" customHeight="1" x14ac:dyDescent="0.25">
      <c r="A12" s="83" t="s">
        <v>15</v>
      </c>
      <c r="B12" s="85" t="s">
        <v>16</v>
      </c>
      <c r="C12" s="123"/>
      <c r="D12" s="123"/>
      <c r="E12" s="123"/>
      <c r="F12" s="123"/>
      <c r="G12" s="123"/>
      <c r="H12" s="123"/>
      <c r="I12" s="123"/>
      <c r="J12" s="124"/>
    </row>
    <row r="13" spans="1:10" ht="11.25" customHeight="1" x14ac:dyDescent="0.25">
      <c r="A13" s="83" t="s">
        <v>17</v>
      </c>
      <c r="B13" s="86" t="s">
        <v>18</v>
      </c>
      <c r="C13" s="123"/>
      <c r="D13" s="123"/>
      <c r="E13" s="123"/>
      <c r="F13" s="123"/>
      <c r="G13" s="123"/>
      <c r="H13" s="123"/>
      <c r="I13" s="123"/>
      <c r="J13" s="124"/>
    </row>
    <row r="14" spans="1:10" ht="11.25" customHeight="1" x14ac:dyDescent="0.25">
      <c r="A14" s="83" t="s">
        <v>19</v>
      </c>
      <c r="B14" s="85" t="s">
        <v>20</v>
      </c>
      <c r="C14" s="123"/>
      <c r="D14" s="123"/>
      <c r="E14" s="123"/>
      <c r="F14" s="123"/>
      <c r="G14" s="123"/>
      <c r="H14" s="123"/>
      <c r="I14" s="123"/>
      <c r="J14" s="124"/>
    </row>
    <row r="15" spans="1:10" ht="10.5" customHeight="1" x14ac:dyDescent="0.25">
      <c r="A15" s="83" t="s">
        <v>21</v>
      </c>
      <c r="B15" s="87" t="s">
        <v>22</v>
      </c>
      <c r="C15" s="123"/>
      <c r="D15" s="123"/>
      <c r="E15" s="123"/>
      <c r="F15" s="123"/>
      <c r="G15" s="123"/>
      <c r="H15" s="123"/>
      <c r="I15" s="123"/>
      <c r="J15" s="124"/>
    </row>
    <row r="16" spans="1:10" ht="12.75" customHeight="1" x14ac:dyDescent="0.25">
      <c r="A16" s="83" t="s">
        <v>23</v>
      </c>
      <c r="B16" s="85" t="s">
        <v>24</v>
      </c>
      <c r="C16" s="123"/>
      <c r="D16" s="123"/>
      <c r="E16" s="123"/>
      <c r="F16" s="123"/>
      <c r="G16" s="123"/>
      <c r="H16" s="123"/>
      <c r="I16" s="123"/>
      <c r="J16" s="124"/>
    </row>
    <row r="17" spans="1:10" ht="10.5" customHeight="1" x14ac:dyDescent="0.25">
      <c r="A17" s="83" t="s">
        <v>25</v>
      </c>
      <c r="B17" s="85" t="s">
        <v>26</v>
      </c>
      <c r="C17" s="123"/>
      <c r="D17" s="123"/>
      <c r="E17" s="123"/>
      <c r="F17" s="123"/>
      <c r="G17" s="123"/>
      <c r="H17" s="123"/>
      <c r="I17" s="123"/>
      <c r="J17" s="124"/>
    </row>
    <row r="18" spans="1:10" ht="14.25" customHeight="1" x14ac:dyDescent="0.25">
      <c r="A18" s="83" t="s">
        <v>27</v>
      </c>
      <c r="B18" s="87" t="s">
        <v>28</v>
      </c>
      <c r="C18" s="123">
        <f>1002+1253+6237+3050+1944+1002+747+3004</f>
        <v>18239</v>
      </c>
      <c r="D18" s="123">
        <f>1944</f>
        <v>1944</v>
      </c>
      <c r="E18" s="123"/>
      <c r="F18" s="123"/>
      <c r="G18" s="123">
        <f>1002+1253+6237+3050+1002+747+3004</f>
        <v>16295</v>
      </c>
      <c r="H18" s="123"/>
      <c r="I18" s="123"/>
      <c r="J18" s="124"/>
    </row>
    <row r="19" spans="1:10" ht="24" customHeight="1" x14ac:dyDescent="0.25">
      <c r="A19" s="83" t="s">
        <v>29</v>
      </c>
      <c r="B19" s="85" t="s">
        <v>30</v>
      </c>
      <c r="C19" s="123"/>
      <c r="D19" s="123"/>
      <c r="E19" s="123"/>
      <c r="F19" s="123"/>
      <c r="G19" s="123"/>
      <c r="H19" s="123"/>
      <c r="I19" s="123"/>
      <c r="J19" s="124"/>
    </row>
    <row r="20" spans="1:10" ht="12.75" customHeight="1" x14ac:dyDescent="0.25">
      <c r="A20" s="83" t="s">
        <v>31</v>
      </c>
      <c r="B20" s="85" t="s">
        <v>32</v>
      </c>
      <c r="C20" s="123">
        <f>3700+3251+3322+4490+3391+3869+3708+10321+3077+2411</f>
        <v>41540</v>
      </c>
      <c r="D20" s="123">
        <f>8673</f>
        <v>8673</v>
      </c>
      <c r="E20" s="123"/>
      <c r="F20" s="123">
        <f>3700+3251+3322+4490+3391+3869+3708+1648+3077+2411</f>
        <v>32867</v>
      </c>
      <c r="G20" s="123"/>
      <c r="H20" s="123"/>
      <c r="I20" s="123"/>
      <c r="J20" s="124"/>
    </row>
    <row r="21" spans="1:10" ht="14.25" customHeight="1" x14ac:dyDescent="0.25">
      <c r="A21" s="83" t="s">
        <v>33</v>
      </c>
      <c r="B21" s="85" t="s">
        <v>34</v>
      </c>
      <c r="C21" s="123"/>
      <c r="D21" s="123"/>
      <c r="E21" s="123"/>
      <c r="F21" s="123"/>
      <c r="G21" s="123"/>
      <c r="H21" s="123"/>
      <c r="I21" s="123"/>
      <c r="J21" s="124"/>
    </row>
    <row r="22" spans="1:10" ht="23.25" customHeight="1" x14ac:dyDescent="0.25">
      <c r="A22" s="83" t="s">
        <v>35</v>
      </c>
      <c r="B22" s="87" t="s">
        <v>36</v>
      </c>
      <c r="C22" s="123"/>
      <c r="D22" s="123"/>
      <c r="E22" s="123"/>
      <c r="F22" s="123"/>
      <c r="G22" s="123"/>
      <c r="H22" s="123"/>
      <c r="I22" s="123"/>
      <c r="J22" s="124"/>
    </row>
    <row r="23" spans="1:10" ht="10.5" customHeight="1" x14ac:dyDescent="0.25">
      <c r="A23" s="83" t="s">
        <v>37</v>
      </c>
      <c r="B23" s="85" t="s">
        <v>38</v>
      </c>
      <c r="C23" s="123"/>
      <c r="D23" s="123"/>
      <c r="E23" s="123"/>
      <c r="F23" s="123"/>
      <c r="G23" s="123"/>
      <c r="H23" s="123"/>
      <c r="I23" s="123"/>
      <c r="J23" s="124"/>
    </row>
    <row r="24" spans="1:10" ht="12" customHeight="1" x14ac:dyDescent="0.25">
      <c r="A24" s="83" t="s">
        <v>39</v>
      </c>
      <c r="B24" s="85" t="s">
        <v>40</v>
      </c>
      <c r="C24" s="123"/>
      <c r="D24" s="123"/>
      <c r="E24" s="123"/>
      <c r="F24" s="123"/>
      <c r="G24" s="123"/>
      <c r="H24" s="123"/>
      <c r="I24" s="123"/>
      <c r="J24" s="124"/>
    </row>
    <row r="25" spans="1:10" ht="10.5" customHeight="1" x14ac:dyDescent="0.25">
      <c r="A25" s="83" t="s">
        <v>41</v>
      </c>
      <c r="B25" s="85" t="s">
        <v>42</v>
      </c>
      <c r="C25" s="123"/>
      <c r="D25" s="123"/>
      <c r="E25" s="123"/>
      <c r="F25" s="123"/>
      <c r="G25" s="123"/>
      <c r="H25" s="123"/>
      <c r="I25" s="123"/>
      <c r="J25" s="124"/>
    </row>
    <row r="26" spans="1:10" ht="12" customHeight="1" x14ac:dyDescent="0.25">
      <c r="A26" s="83" t="s">
        <v>43</v>
      </c>
      <c r="B26" s="85" t="s">
        <v>44</v>
      </c>
      <c r="C26" s="123">
        <f>20856+19695+19281+13956+21719+17403+22186+40036+32892+22372+20218+24053</f>
        <v>274667</v>
      </c>
      <c r="D26" s="123">
        <f>13244+10706+12703+8563+12929+11761+14999+28065+15416+17629+13912+16612</f>
        <v>176539</v>
      </c>
      <c r="E26" s="123"/>
      <c r="F26" s="123"/>
      <c r="G26" s="123">
        <f>7612+8989+6578+5393+8790+5642+7187+11971+17476+4743+6306+7441</f>
        <v>98128</v>
      </c>
      <c r="H26" s="123"/>
      <c r="I26" s="123"/>
      <c r="J26" s="124"/>
    </row>
    <row r="27" spans="1:10" ht="12.75" customHeight="1" x14ac:dyDescent="0.25">
      <c r="A27" s="83" t="s">
        <v>45</v>
      </c>
      <c r="B27" s="85" t="s">
        <v>46</v>
      </c>
      <c r="C27" s="123"/>
      <c r="D27" s="123"/>
      <c r="E27" s="123"/>
      <c r="F27" s="123"/>
      <c r="G27" s="123"/>
      <c r="H27" s="123"/>
      <c r="I27" s="123"/>
      <c r="J27" s="124"/>
    </row>
    <row r="28" spans="1:10" ht="12" customHeight="1" x14ac:dyDescent="0.25">
      <c r="A28" s="83" t="s">
        <v>47</v>
      </c>
      <c r="B28" s="85" t="s">
        <v>48</v>
      </c>
      <c r="C28" s="123"/>
      <c r="D28" s="123"/>
      <c r="E28" s="123"/>
      <c r="F28" s="123"/>
      <c r="G28" s="123"/>
      <c r="H28" s="123"/>
      <c r="I28" s="123"/>
      <c r="J28" s="124"/>
    </row>
    <row r="29" spans="1:10" ht="12.75" customHeight="1" x14ac:dyDescent="0.25">
      <c r="A29" s="83" t="s">
        <v>49</v>
      </c>
      <c r="B29" s="85" t="s">
        <v>50</v>
      </c>
      <c r="C29" s="123">
        <f>1204</f>
        <v>1204</v>
      </c>
      <c r="D29" s="123"/>
      <c r="E29" s="123"/>
      <c r="F29" s="123"/>
      <c r="G29" s="123">
        <f>1204</f>
        <v>1204</v>
      </c>
      <c r="H29" s="123"/>
      <c r="I29" s="123"/>
      <c r="J29" s="124"/>
    </row>
    <row r="30" spans="1:10" ht="12" customHeight="1" x14ac:dyDescent="0.25">
      <c r="A30" s="83" t="s">
        <v>51</v>
      </c>
      <c r="B30" s="85" t="s">
        <v>52</v>
      </c>
      <c r="C30" s="123"/>
      <c r="D30" s="123"/>
      <c r="E30" s="123"/>
      <c r="F30" s="123"/>
      <c r="G30" s="123"/>
      <c r="H30" s="123"/>
      <c r="I30" s="123"/>
      <c r="J30" s="124"/>
    </row>
    <row r="31" spans="1:10" ht="13.5" customHeight="1" x14ac:dyDescent="0.25">
      <c r="A31" s="83" t="s">
        <v>53</v>
      </c>
      <c r="B31" s="85" t="s">
        <v>54</v>
      </c>
      <c r="C31" s="123"/>
      <c r="D31" s="123"/>
      <c r="E31" s="123"/>
      <c r="F31" s="123"/>
      <c r="G31" s="123"/>
      <c r="H31" s="123"/>
      <c r="I31" s="123"/>
      <c r="J31" s="124"/>
    </row>
    <row r="32" spans="1:10" ht="14.25" customHeight="1" x14ac:dyDescent="0.25">
      <c r="A32" s="83" t="s">
        <v>55</v>
      </c>
      <c r="B32" s="85" t="s">
        <v>56</v>
      </c>
      <c r="C32" s="123">
        <f>1901+11327+8345+10087+9162+6452+10779+8102+5393+10331+1000+2116</f>
        <v>84995</v>
      </c>
      <c r="D32" s="123">
        <f>1901+8102</f>
        <v>10003</v>
      </c>
      <c r="E32" s="123"/>
      <c r="F32" s="123"/>
      <c r="G32" s="123">
        <f>11327+8345+10087+9162+6452+10779+5393+10331+1000+2116</f>
        <v>74992</v>
      </c>
      <c r="H32" s="123"/>
      <c r="I32" s="123"/>
      <c r="J32" s="124"/>
    </row>
    <row r="33" spans="1:10" ht="12" customHeight="1" x14ac:dyDescent="0.25">
      <c r="A33" s="83" t="s">
        <v>57</v>
      </c>
      <c r="B33" s="85" t="s">
        <v>58</v>
      </c>
      <c r="C33" s="123"/>
      <c r="D33" s="123"/>
      <c r="E33" s="123"/>
      <c r="F33" s="123"/>
      <c r="G33" s="123"/>
      <c r="H33" s="123"/>
      <c r="I33" s="123"/>
      <c r="J33" s="124"/>
    </row>
    <row r="34" spans="1:10" ht="12.75" customHeight="1" x14ac:dyDescent="0.25">
      <c r="A34" s="83" t="s">
        <v>59</v>
      </c>
      <c r="B34" s="87" t="s">
        <v>60</v>
      </c>
      <c r="C34" s="123"/>
      <c r="D34" s="123"/>
      <c r="E34" s="123"/>
      <c r="F34" s="123"/>
      <c r="G34" s="123"/>
      <c r="H34" s="123"/>
      <c r="I34" s="123"/>
      <c r="J34" s="124"/>
    </row>
    <row r="35" spans="1:10" ht="12" customHeight="1" x14ac:dyDescent="0.25">
      <c r="A35" s="83" t="s">
        <v>61</v>
      </c>
      <c r="B35" s="85" t="s">
        <v>62</v>
      </c>
      <c r="C35" s="123"/>
      <c r="D35" s="123"/>
      <c r="E35" s="123"/>
      <c r="F35" s="123"/>
      <c r="G35" s="123"/>
      <c r="H35" s="123"/>
      <c r="I35" s="123"/>
      <c r="J35" s="124"/>
    </row>
    <row r="36" spans="1:10" ht="12.75" customHeight="1" x14ac:dyDescent="0.25">
      <c r="A36" s="83" t="s">
        <v>63</v>
      </c>
      <c r="B36" s="85" t="s">
        <v>64</v>
      </c>
      <c r="C36" s="123"/>
      <c r="D36" s="123"/>
      <c r="E36" s="123"/>
      <c r="F36" s="123"/>
      <c r="G36" s="123"/>
      <c r="H36" s="123"/>
      <c r="I36" s="123"/>
      <c r="J36" s="124"/>
    </row>
    <row r="37" spans="1:10" x14ac:dyDescent="0.25">
      <c r="A37" s="88"/>
      <c r="B37" s="89" t="s">
        <v>65</v>
      </c>
      <c r="C37" s="90">
        <f>26+33+29+30+31+32+36+39+32+31+26+32</f>
        <v>377</v>
      </c>
      <c r="D37" s="91"/>
      <c r="E37" s="91"/>
      <c r="F37" s="91"/>
      <c r="G37" s="91"/>
      <c r="H37" s="91"/>
      <c r="I37" s="91"/>
      <c r="J37" s="43"/>
    </row>
    <row r="38" spans="1:10" x14ac:dyDescent="0.25">
      <c r="A38" s="33" t="s">
        <v>4</v>
      </c>
      <c r="B38" s="36" t="s">
        <v>3</v>
      </c>
      <c r="C38" s="35"/>
      <c r="D38" s="35"/>
      <c r="E38" s="35"/>
      <c r="F38" s="35"/>
      <c r="G38" s="35"/>
      <c r="H38" s="32"/>
      <c r="I38" s="32"/>
      <c r="J38" s="43"/>
    </row>
    <row r="39" spans="1:10" x14ac:dyDescent="0.25">
      <c r="A39" s="5"/>
      <c r="B39" s="36" t="s">
        <v>66</v>
      </c>
      <c r="C39" s="37">
        <f>19+28+21+22+23+28+26+32+21+18+12+19</f>
        <v>269</v>
      </c>
      <c r="D39" s="38"/>
      <c r="E39" s="38"/>
      <c r="F39" s="38"/>
      <c r="G39" s="38"/>
      <c r="H39" s="35"/>
      <c r="I39" s="35"/>
      <c r="J39" s="43"/>
    </row>
    <row r="40" spans="1:10" x14ac:dyDescent="0.25">
      <c r="A40" s="5"/>
      <c r="B40" s="36" t="s">
        <v>67</v>
      </c>
      <c r="C40" s="92">
        <f>7+5+8+8+8+4+10+7+11+13+14+13</f>
        <v>108</v>
      </c>
      <c r="D40" s="38"/>
      <c r="E40" s="38"/>
      <c r="F40" s="38"/>
      <c r="G40" s="38"/>
      <c r="H40" s="38"/>
      <c r="I40" s="38"/>
      <c r="J40" s="43"/>
    </row>
    <row r="41" spans="1:10" x14ac:dyDescent="0.25">
      <c r="A41" s="5"/>
      <c r="B41" s="43"/>
      <c r="C41" s="39"/>
      <c r="D41" s="38"/>
      <c r="E41" s="38"/>
      <c r="F41" s="38"/>
      <c r="G41" s="38"/>
      <c r="H41" s="38"/>
      <c r="I41" s="38"/>
      <c r="J41" s="43"/>
    </row>
    <row r="42" spans="1:10" x14ac:dyDescent="0.25">
      <c r="C42" s="43"/>
      <c r="H42" s="38"/>
      <c r="I42" s="38"/>
    </row>
    <row r="43" spans="1:10" x14ac:dyDescent="0.25">
      <c r="C43" s="43"/>
    </row>
    <row r="44" spans="1:10" x14ac:dyDescent="0.25">
      <c r="C44" s="43"/>
    </row>
    <row r="45" spans="1:10" x14ac:dyDescent="0.25">
      <c r="C45" s="43"/>
    </row>
  </sheetData>
  <pageMargins left="0.7" right="0.7" top="0.75" bottom="0.75" header="0.3" footer="0.3"/>
  <pageSetup paperSize="9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6"/>
  <sheetViews>
    <sheetView zoomScaleNormal="100" workbookViewId="0">
      <selection activeCell="L27" sqref="L27"/>
    </sheetView>
  </sheetViews>
  <sheetFormatPr defaultRowHeight="15" x14ac:dyDescent="0.25"/>
  <cols>
    <col min="2" max="2" width="36.140625" customWidth="1"/>
    <col min="3" max="3" width="11.140625" customWidth="1"/>
  </cols>
  <sheetData>
    <row r="1" spans="1:9" x14ac:dyDescent="0.25">
      <c r="A1" s="1" t="s">
        <v>0</v>
      </c>
      <c r="B1" s="2"/>
      <c r="C1" s="3"/>
      <c r="D1" s="3"/>
      <c r="E1" s="3"/>
      <c r="F1" s="4"/>
      <c r="G1" s="3"/>
      <c r="H1" s="3"/>
      <c r="I1" s="4"/>
    </row>
    <row r="2" spans="1:9" x14ac:dyDescent="0.25">
      <c r="A2" s="6" t="s">
        <v>76</v>
      </c>
      <c r="B2" s="6"/>
      <c r="C2" s="3"/>
      <c r="D2" s="3"/>
      <c r="E2" s="3"/>
      <c r="F2" s="4"/>
      <c r="G2" s="3"/>
      <c r="H2" s="3"/>
      <c r="I2" s="4"/>
    </row>
    <row r="3" spans="1:9" x14ac:dyDescent="0.25">
      <c r="A3" s="8" t="s">
        <v>1</v>
      </c>
      <c r="B3" s="8"/>
      <c r="C3" s="8"/>
      <c r="D3" s="8"/>
      <c r="E3" s="8"/>
      <c r="F3" s="8"/>
      <c r="G3" s="8"/>
      <c r="H3" s="8"/>
      <c r="I3" s="8"/>
    </row>
    <row r="4" spans="1:9" x14ac:dyDescent="0.25">
      <c r="A4" s="10" t="s">
        <v>2</v>
      </c>
      <c r="B4" s="11"/>
      <c r="C4" s="11"/>
      <c r="D4" s="12" t="s">
        <v>3</v>
      </c>
      <c r="E4" s="13"/>
      <c r="F4" s="14"/>
      <c r="G4" s="13"/>
      <c r="H4" s="13"/>
      <c r="I4" s="15"/>
    </row>
    <row r="5" spans="1:9" x14ac:dyDescent="0.25">
      <c r="A5" s="16" t="s">
        <v>4</v>
      </c>
      <c r="B5" s="17" t="s">
        <v>5</v>
      </c>
      <c r="C5" s="18" t="s">
        <v>6</v>
      </c>
      <c r="D5" s="19" t="s">
        <v>7</v>
      </c>
      <c r="E5" s="20"/>
      <c r="F5" s="20"/>
      <c r="G5" s="21" t="s">
        <v>8</v>
      </c>
      <c r="H5" s="20"/>
      <c r="I5" s="20"/>
    </row>
    <row r="6" spans="1:9" x14ac:dyDescent="0.25">
      <c r="A6" s="22" t="s">
        <v>9</v>
      </c>
      <c r="B6" s="23"/>
      <c r="C6" s="23"/>
      <c r="D6" s="24" t="s">
        <v>10</v>
      </c>
      <c r="E6" s="24" t="s">
        <v>11</v>
      </c>
      <c r="F6" s="24" t="s">
        <v>12</v>
      </c>
      <c r="G6" s="24" t="s">
        <v>13</v>
      </c>
      <c r="H6" s="24" t="s">
        <v>11</v>
      </c>
      <c r="I6" s="24" t="s">
        <v>12</v>
      </c>
    </row>
    <row r="7" spans="1:9" ht="12.75" customHeight="1" x14ac:dyDescent="0.25">
      <c r="A7" s="24">
        <v>0</v>
      </c>
      <c r="B7" s="25" t="s">
        <v>14</v>
      </c>
      <c r="C7" s="26">
        <f>15747+17970+30987+24137+14009+6827+58589+32236+24526+19408+19840+34137</f>
        <v>298413</v>
      </c>
      <c r="D7" s="26">
        <f>709+10708+6000+540</f>
        <v>17957</v>
      </c>
      <c r="E7" s="26"/>
      <c r="F7" s="26">
        <f>15747+17970+30987+24137+13007+6827+55960+29230+11817+9221+18530+34137</f>
        <v>267570</v>
      </c>
      <c r="G7" s="26">
        <f>12386</f>
        <v>12386</v>
      </c>
      <c r="H7" s="26"/>
      <c r="I7" s="26">
        <f>500</f>
        <v>500</v>
      </c>
    </row>
    <row r="8" spans="1:9" ht="12.75" customHeight="1" x14ac:dyDescent="0.25">
      <c r="A8" s="24" t="s">
        <v>15</v>
      </c>
      <c r="B8" s="27" t="s">
        <v>16</v>
      </c>
      <c r="C8" s="26">
        <f>15747+17970+30987+24137+14009+6827+56669+29230+22525+15220+19071+34137</f>
        <v>286529</v>
      </c>
      <c r="D8" s="26">
        <f>709+10708+6000+540</f>
        <v>17957</v>
      </c>
      <c r="E8" s="26"/>
      <c r="F8" s="26">
        <f>15747+17970+30987+24137+13007+6827+55960+29230+11817+9221+18530+34137</f>
        <v>267570</v>
      </c>
      <c r="G8" s="26">
        <f>1002</f>
        <v>1002</v>
      </c>
      <c r="H8" s="26"/>
      <c r="I8" s="26"/>
    </row>
    <row r="9" spans="1:9" ht="12" customHeight="1" x14ac:dyDescent="0.25">
      <c r="A9" s="24" t="s">
        <v>17</v>
      </c>
      <c r="B9" s="28" t="s">
        <v>18</v>
      </c>
      <c r="C9" s="26"/>
      <c r="D9" s="26"/>
      <c r="E9" s="26"/>
      <c r="F9" s="26"/>
      <c r="G9" s="26"/>
      <c r="H9" s="26"/>
      <c r="I9" s="26"/>
    </row>
    <row r="10" spans="1:9" ht="12.75" customHeight="1" x14ac:dyDescent="0.25">
      <c r="A10" s="24" t="s">
        <v>19</v>
      </c>
      <c r="B10" s="27" t="s">
        <v>20</v>
      </c>
      <c r="C10" s="26"/>
      <c r="D10" s="26"/>
      <c r="E10" s="26"/>
      <c r="F10" s="26"/>
      <c r="G10" s="26"/>
      <c r="H10" s="26"/>
      <c r="I10" s="26"/>
    </row>
    <row r="11" spans="1:9" ht="12.75" customHeight="1" x14ac:dyDescent="0.25">
      <c r="A11" s="24" t="s">
        <v>21</v>
      </c>
      <c r="B11" s="29" t="s">
        <v>22</v>
      </c>
      <c r="C11" s="26"/>
      <c r="D11" s="26"/>
      <c r="E11" s="26"/>
      <c r="F11" s="26"/>
      <c r="G11" s="26"/>
      <c r="H11" s="26"/>
      <c r="I11" s="26"/>
    </row>
    <row r="12" spans="1:9" ht="12" customHeight="1" x14ac:dyDescent="0.25">
      <c r="A12" s="24" t="s">
        <v>23</v>
      </c>
      <c r="B12" s="27" t="s">
        <v>24</v>
      </c>
      <c r="C12" s="26"/>
      <c r="D12" s="26"/>
      <c r="E12" s="26"/>
      <c r="F12" s="26"/>
      <c r="G12" s="26"/>
      <c r="H12" s="26"/>
      <c r="I12" s="26"/>
    </row>
    <row r="13" spans="1:9" ht="11.25" customHeight="1" x14ac:dyDescent="0.25">
      <c r="A13" s="24" t="s">
        <v>25</v>
      </c>
      <c r="B13" s="27" t="s">
        <v>26</v>
      </c>
      <c r="C13" s="26"/>
      <c r="D13" s="26"/>
      <c r="E13" s="26"/>
      <c r="F13" s="26"/>
      <c r="G13" s="26"/>
      <c r="H13" s="26"/>
      <c r="I13" s="26"/>
    </row>
    <row r="14" spans="1:9" ht="12" customHeight="1" x14ac:dyDescent="0.25">
      <c r="A14" s="24" t="s">
        <v>27</v>
      </c>
      <c r="B14" s="29" t="s">
        <v>28</v>
      </c>
      <c r="C14" s="26">
        <v>11884</v>
      </c>
      <c r="D14" s="26"/>
      <c r="E14" s="26"/>
      <c r="F14" s="26"/>
      <c r="G14" s="26">
        <f>1920+3006+1501+4188+769</f>
        <v>11384</v>
      </c>
      <c r="H14" s="26"/>
      <c r="I14" s="26">
        <f>500</f>
        <v>500</v>
      </c>
    </row>
    <row r="15" spans="1:9" ht="24" customHeight="1" x14ac:dyDescent="0.25">
      <c r="A15" s="24" t="s">
        <v>29</v>
      </c>
      <c r="B15" s="27" t="s">
        <v>30</v>
      </c>
      <c r="C15" s="26"/>
      <c r="D15" s="26"/>
      <c r="E15" s="26"/>
      <c r="F15" s="26"/>
      <c r="G15" s="26"/>
      <c r="H15" s="26"/>
      <c r="I15" s="26"/>
    </row>
    <row r="16" spans="1:9" ht="12" customHeight="1" x14ac:dyDescent="0.25">
      <c r="A16" s="24" t="s">
        <v>31</v>
      </c>
      <c r="B16" s="27" t="s">
        <v>32</v>
      </c>
      <c r="C16" s="26"/>
      <c r="D16" s="26"/>
      <c r="E16" s="26"/>
      <c r="F16" s="26"/>
      <c r="G16" s="26"/>
      <c r="H16" s="26"/>
      <c r="I16" s="26"/>
    </row>
    <row r="17" spans="1:13" ht="12.75" customHeight="1" x14ac:dyDescent="0.25">
      <c r="A17" s="24" t="s">
        <v>33</v>
      </c>
      <c r="B17" s="27" t="s">
        <v>34</v>
      </c>
      <c r="C17" s="26"/>
      <c r="D17" s="26"/>
      <c r="E17" s="26"/>
      <c r="F17" s="26"/>
      <c r="G17" s="26"/>
      <c r="H17" s="26"/>
      <c r="I17" s="26"/>
    </row>
    <row r="18" spans="1:13" ht="24" customHeight="1" x14ac:dyDescent="0.25">
      <c r="A18" s="24" t="s">
        <v>35</v>
      </c>
      <c r="B18" s="29" t="s">
        <v>36</v>
      </c>
      <c r="C18" s="26"/>
      <c r="D18" s="26"/>
      <c r="E18" s="26"/>
      <c r="F18" s="26"/>
      <c r="G18" s="26"/>
      <c r="H18" s="26"/>
      <c r="I18" s="26"/>
    </row>
    <row r="19" spans="1:13" ht="12.75" customHeight="1" x14ac:dyDescent="0.25">
      <c r="A19" s="24" t="s">
        <v>37</v>
      </c>
      <c r="B19" s="27" t="s">
        <v>38</v>
      </c>
      <c r="C19" s="26"/>
      <c r="D19" s="26"/>
      <c r="E19" s="26"/>
      <c r="F19" s="26"/>
      <c r="G19" s="26"/>
      <c r="H19" s="26"/>
      <c r="I19" s="26"/>
    </row>
    <row r="20" spans="1:13" ht="12.75" customHeight="1" x14ac:dyDescent="0.25">
      <c r="A20" s="24" t="s">
        <v>39</v>
      </c>
      <c r="B20" s="27" t="s">
        <v>40</v>
      </c>
      <c r="C20" s="26"/>
      <c r="D20" s="26"/>
      <c r="E20" s="26"/>
      <c r="F20" s="26"/>
      <c r="G20" s="26"/>
      <c r="H20" s="26"/>
      <c r="I20" s="26"/>
    </row>
    <row r="21" spans="1:13" ht="11.25" customHeight="1" x14ac:dyDescent="0.25">
      <c r="A21" s="24" t="s">
        <v>41</v>
      </c>
      <c r="B21" s="27" t="s">
        <v>42</v>
      </c>
      <c r="C21" s="26"/>
      <c r="D21" s="26"/>
      <c r="E21" s="26"/>
      <c r="F21" s="26"/>
      <c r="G21" s="26"/>
      <c r="H21" s="26"/>
      <c r="I21" s="26"/>
    </row>
    <row r="22" spans="1:13" ht="12.75" customHeight="1" x14ac:dyDescent="0.25">
      <c r="A22" s="24" t="s">
        <v>43</v>
      </c>
      <c r="B22" s="27" t="s">
        <v>44</v>
      </c>
      <c r="C22" s="26"/>
      <c r="D22" s="26"/>
      <c r="E22" s="26"/>
      <c r="F22" s="26"/>
      <c r="G22" s="26"/>
      <c r="H22" s="26"/>
      <c r="I22" s="26"/>
      <c r="M22" s="40"/>
    </row>
    <row r="23" spans="1:13" ht="12.75" customHeight="1" x14ac:dyDescent="0.25">
      <c r="A23" s="24" t="s">
        <v>45</v>
      </c>
      <c r="B23" s="27" t="s">
        <v>46</v>
      </c>
      <c r="C23" s="26"/>
      <c r="D23" s="26"/>
      <c r="E23" s="26"/>
      <c r="F23" s="26"/>
      <c r="G23" s="26"/>
      <c r="H23" s="26"/>
      <c r="I23" s="26"/>
    </row>
    <row r="24" spans="1:13" ht="12" customHeight="1" x14ac:dyDescent="0.25">
      <c r="A24" s="24" t="s">
        <v>47</v>
      </c>
      <c r="B24" s="27" t="s">
        <v>48</v>
      </c>
      <c r="C24" s="26"/>
      <c r="D24" s="26"/>
      <c r="E24" s="26"/>
      <c r="F24" s="26"/>
      <c r="G24" s="26"/>
      <c r="H24" s="26"/>
      <c r="I24" s="26"/>
    </row>
    <row r="25" spans="1:13" ht="12.75" customHeight="1" x14ac:dyDescent="0.25">
      <c r="A25" s="24" t="s">
        <v>49</v>
      </c>
      <c r="B25" s="27" t="s">
        <v>50</v>
      </c>
      <c r="C25" s="26"/>
      <c r="D25" s="26"/>
      <c r="E25" s="26"/>
      <c r="F25" s="26"/>
      <c r="G25" s="26"/>
      <c r="H25" s="26"/>
      <c r="I25" s="26"/>
    </row>
    <row r="26" spans="1:13" ht="12" customHeight="1" x14ac:dyDescent="0.25">
      <c r="A26" s="24" t="s">
        <v>51</v>
      </c>
      <c r="B26" s="27" t="s">
        <v>52</v>
      </c>
      <c r="C26" s="26"/>
      <c r="D26" s="26"/>
      <c r="E26" s="26"/>
      <c r="F26" s="26"/>
      <c r="G26" s="26"/>
      <c r="H26" s="26"/>
      <c r="I26" s="26"/>
    </row>
    <row r="27" spans="1:13" ht="12.75" customHeight="1" x14ac:dyDescent="0.25">
      <c r="A27" s="24" t="s">
        <v>53</v>
      </c>
      <c r="B27" s="27" t="s">
        <v>54</v>
      </c>
      <c r="C27" s="26"/>
      <c r="D27" s="26"/>
      <c r="E27" s="26"/>
      <c r="F27" s="26"/>
      <c r="G27" s="26"/>
      <c r="H27" s="26"/>
      <c r="I27" s="26"/>
    </row>
    <row r="28" spans="1:13" ht="11.25" customHeight="1" x14ac:dyDescent="0.25">
      <c r="A28" s="24" t="s">
        <v>55</v>
      </c>
      <c r="B28" s="27" t="s">
        <v>56</v>
      </c>
      <c r="C28" s="26"/>
      <c r="D28" s="26"/>
      <c r="E28" s="26"/>
      <c r="F28" s="26"/>
      <c r="G28" s="26"/>
      <c r="H28" s="26"/>
      <c r="I28" s="26"/>
    </row>
    <row r="29" spans="1:13" ht="12.75" customHeight="1" x14ac:dyDescent="0.25">
      <c r="A29" s="24" t="s">
        <v>57</v>
      </c>
      <c r="B29" s="27" t="s">
        <v>58</v>
      </c>
      <c r="C29" s="26"/>
      <c r="D29" s="26"/>
      <c r="E29" s="26"/>
      <c r="F29" s="26"/>
      <c r="G29" s="26"/>
      <c r="H29" s="26"/>
      <c r="I29" s="26"/>
    </row>
    <row r="30" spans="1:13" ht="12.75" customHeight="1" x14ac:dyDescent="0.25">
      <c r="A30" s="24" t="s">
        <v>59</v>
      </c>
      <c r="B30" s="29" t="s">
        <v>60</v>
      </c>
      <c r="C30" s="26"/>
      <c r="D30" s="26"/>
      <c r="E30" s="26"/>
      <c r="F30" s="26"/>
      <c r="G30" s="26"/>
      <c r="H30" s="26"/>
      <c r="I30" s="26"/>
    </row>
    <row r="31" spans="1:13" ht="12" customHeight="1" x14ac:dyDescent="0.25">
      <c r="A31" s="24" t="s">
        <v>61</v>
      </c>
      <c r="B31" s="27" t="s">
        <v>62</v>
      </c>
      <c r="C31" s="26"/>
      <c r="D31" s="26"/>
      <c r="E31" s="26"/>
      <c r="F31" s="26"/>
      <c r="G31" s="26"/>
      <c r="H31" s="26"/>
      <c r="I31" s="26"/>
    </row>
    <row r="32" spans="1:13" ht="12.75" customHeight="1" x14ac:dyDescent="0.25">
      <c r="A32" s="24" t="s">
        <v>63</v>
      </c>
      <c r="B32" s="27" t="s">
        <v>64</v>
      </c>
      <c r="C32" s="26"/>
      <c r="D32" s="26"/>
      <c r="E32" s="26"/>
      <c r="F32" s="26"/>
      <c r="G32" s="26"/>
      <c r="H32" s="26"/>
      <c r="I32" s="26"/>
    </row>
    <row r="33" spans="1:9" x14ac:dyDescent="0.25">
      <c r="A33" s="33" t="s">
        <v>4</v>
      </c>
      <c r="B33" s="34" t="s">
        <v>65</v>
      </c>
      <c r="C33" s="35">
        <f>15+16+28+21+13+7+51+31+27+23+23+30</f>
        <v>285</v>
      </c>
      <c r="D33" s="38"/>
      <c r="E33" s="38"/>
      <c r="F33" s="38"/>
      <c r="G33" s="38"/>
      <c r="H33" s="38"/>
      <c r="I33" s="38"/>
    </row>
    <row r="34" spans="1:9" x14ac:dyDescent="0.25">
      <c r="A34" s="5"/>
      <c r="B34" s="36" t="s">
        <v>3</v>
      </c>
      <c r="C34" s="37"/>
      <c r="D34" s="38"/>
      <c r="E34" s="38"/>
      <c r="F34" s="38"/>
      <c r="G34" s="38"/>
      <c r="H34" s="38"/>
      <c r="I34" s="38"/>
    </row>
    <row r="35" spans="1:9" x14ac:dyDescent="0.25">
      <c r="A35" s="5"/>
      <c r="B35" s="36" t="s">
        <v>66</v>
      </c>
      <c r="C35" s="39">
        <f>12+13+18+14+13+7+26+19+12+19+13+14</f>
        <v>180</v>
      </c>
      <c r="D35" s="38"/>
      <c r="E35" s="38"/>
      <c r="F35" s="38"/>
      <c r="G35" s="38"/>
      <c r="H35" s="38"/>
      <c r="I35" s="38"/>
    </row>
    <row r="36" spans="1:9" x14ac:dyDescent="0.25">
      <c r="A36" s="5"/>
      <c r="B36" s="36" t="s">
        <v>67</v>
      </c>
      <c r="C36" s="39">
        <f>3+3+10+7+25+12+15+4+10+16</f>
        <v>105</v>
      </c>
    </row>
  </sheetData>
  <pageMargins left="0.7" right="0.7" top="0.75" bottom="0.75" header="0.3" footer="0.3"/>
  <pageSetup paperSize="9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6"/>
  <sheetViews>
    <sheetView topLeftCell="B16" zoomScale="120" zoomScaleNormal="120" workbookViewId="0">
      <selection activeCell="G41" sqref="G41"/>
    </sheetView>
  </sheetViews>
  <sheetFormatPr defaultRowHeight="15" x14ac:dyDescent="0.25"/>
  <cols>
    <col min="1" max="1" width="9.140625" customWidth="1"/>
    <col min="2" max="2" width="36.140625" customWidth="1"/>
    <col min="3" max="9" width="9.140625" customWidth="1"/>
    <col min="10" max="10" width="9.28515625" customWidth="1"/>
  </cols>
  <sheetData>
    <row r="1" spans="1:9" x14ac:dyDescent="0.25">
      <c r="A1" s="1" t="s">
        <v>0</v>
      </c>
      <c r="B1" s="2"/>
      <c r="C1" s="3"/>
      <c r="D1" s="3"/>
      <c r="E1" s="3"/>
      <c r="F1" s="4"/>
      <c r="G1" s="3"/>
      <c r="H1" s="3"/>
      <c r="I1" s="4"/>
    </row>
    <row r="2" spans="1:9" x14ac:dyDescent="0.25">
      <c r="A2" s="6" t="s">
        <v>75</v>
      </c>
      <c r="B2" s="6"/>
      <c r="C2" s="3"/>
      <c r="D2" s="3"/>
      <c r="E2" s="3"/>
      <c r="F2" s="4"/>
      <c r="G2" s="3"/>
      <c r="H2" s="3"/>
      <c r="I2" s="4"/>
    </row>
    <row r="3" spans="1:9" x14ac:dyDescent="0.25">
      <c r="A3" s="8" t="s">
        <v>1</v>
      </c>
      <c r="B3" s="8"/>
      <c r="C3" s="8"/>
      <c r="D3" s="8"/>
      <c r="E3" s="8"/>
      <c r="F3" s="8"/>
      <c r="G3" s="8"/>
      <c r="H3" s="8"/>
      <c r="I3" s="8"/>
    </row>
    <row r="4" spans="1:9" x14ac:dyDescent="0.25">
      <c r="A4" s="10" t="s">
        <v>2</v>
      </c>
      <c r="B4" s="11"/>
      <c r="C4" s="11"/>
      <c r="D4" s="12" t="s">
        <v>3</v>
      </c>
      <c r="E4" s="13"/>
      <c r="F4" s="14"/>
      <c r="G4" s="13"/>
      <c r="H4" s="13"/>
      <c r="I4" s="15"/>
    </row>
    <row r="5" spans="1:9" x14ac:dyDescent="0.25">
      <c r="A5" s="16" t="s">
        <v>4</v>
      </c>
      <c r="B5" s="17" t="s">
        <v>5</v>
      </c>
      <c r="C5" s="18" t="s">
        <v>6</v>
      </c>
      <c r="D5" s="19" t="s">
        <v>7</v>
      </c>
      <c r="E5" s="20"/>
      <c r="F5" s="20"/>
      <c r="G5" s="21" t="s">
        <v>8</v>
      </c>
      <c r="H5" s="20"/>
      <c r="I5" s="20"/>
    </row>
    <row r="6" spans="1:9" x14ac:dyDescent="0.25">
      <c r="A6" s="22" t="s">
        <v>9</v>
      </c>
      <c r="B6" s="23"/>
      <c r="C6" s="23"/>
      <c r="D6" s="24" t="s">
        <v>10</v>
      </c>
      <c r="E6" s="24" t="s">
        <v>11</v>
      </c>
      <c r="F6" s="24" t="s">
        <v>12</v>
      </c>
      <c r="G6" s="24" t="s">
        <v>13</v>
      </c>
      <c r="H6" s="24" t="s">
        <v>11</v>
      </c>
      <c r="I6" s="24" t="s">
        <v>12</v>
      </c>
    </row>
    <row r="7" spans="1:9" ht="12" customHeight="1" x14ac:dyDescent="0.25">
      <c r="A7" s="24">
        <v>0</v>
      </c>
      <c r="B7" s="25" t="s">
        <v>14</v>
      </c>
      <c r="C7" s="26">
        <f>18905+11816+11474+19573+12729+9930+13426+13855+30898+14864+13893+19957</f>
        <v>191320</v>
      </c>
      <c r="D7" s="26"/>
      <c r="E7" s="26"/>
      <c r="F7" s="26">
        <f>18905+10816+10472+18571+12729+9930+13426+13855+30898+14864+13893+19957</f>
        <v>188316</v>
      </c>
      <c r="G7" s="26">
        <f>1000+1002+1002</f>
        <v>3004</v>
      </c>
      <c r="H7" s="26"/>
      <c r="I7" s="26"/>
    </row>
    <row r="8" spans="1:9" ht="11.25" customHeight="1" x14ac:dyDescent="0.25">
      <c r="A8" s="24" t="s">
        <v>15</v>
      </c>
      <c r="B8" s="27" t="s">
        <v>16</v>
      </c>
      <c r="C8" s="26">
        <f>18905+10816+10472+18571+12729+9930+13426+13855+30898+13546+13894+19957</f>
        <v>186999</v>
      </c>
      <c r="D8" s="26"/>
      <c r="E8" s="26"/>
      <c r="F8" s="26">
        <f>18905+10816+10472+18571+12729+9930+13426+13855+30898+13546+13894+19957</f>
        <v>186999</v>
      </c>
      <c r="G8" s="26"/>
      <c r="H8" s="26"/>
      <c r="I8" s="26"/>
    </row>
    <row r="9" spans="1:9" ht="9.75" customHeight="1" x14ac:dyDescent="0.25">
      <c r="A9" s="24" t="s">
        <v>17</v>
      </c>
      <c r="B9" s="28" t="s">
        <v>18</v>
      </c>
      <c r="C9" s="26"/>
      <c r="D9" s="26"/>
      <c r="E9" s="26"/>
      <c r="F9" s="26"/>
      <c r="G9" s="26"/>
      <c r="H9" s="26"/>
      <c r="I9" s="26"/>
    </row>
    <row r="10" spans="1:9" ht="9.75" customHeight="1" x14ac:dyDescent="0.25">
      <c r="A10" s="24" t="s">
        <v>19</v>
      </c>
      <c r="B10" s="27" t="s">
        <v>20</v>
      </c>
      <c r="C10" s="26"/>
      <c r="D10" s="26"/>
      <c r="E10" s="26"/>
      <c r="F10" s="26"/>
      <c r="G10" s="26"/>
      <c r="H10" s="26"/>
      <c r="I10" s="26"/>
    </row>
    <row r="11" spans="1:9" ht="11.25" customHeight="1" x14ac:dyDescent="0.25">
      <c r="A11" s="24" t="s">
        <v>21</v>
      </c>
      <c r="B11" s="29" t="s">
        <v>22</v>
      </c>
      <c r="C11" s="26"/>
      <c r="D11" s="26"/>
      <c r="E11" s="26"/>
      <c r="F11" s="26"/>
      <c r="G11" s="26"/>
      <c r="H11" s="26"/>
      <c r="I11" s="26"/>
    </row>
    <row r="12" spans="1:9" ht="12" customHeight="1" x14ac:dyDescent="0.25">
      <c r="A12" s="24" t="s">
        <v>23</v>
      </c>
      <c r="B12" s="27" t="s">
        <v>24</v>
      </c>
      <c r="C12" s="26"/>
      <c r="D12" s="26"/>
      <c r="E12" s="26"/>
      <c r="F12" s="26"/>
      <c r="G12" s="26"/>
      <c r="H12" s="26"/>
      <c r="I12" s="26"/>
    </row>
    <row r="13" spans="1:9" ht="11.25" customHeight="1" x14ac:dyDescent="0.25">
      <c r="A13" s="24" t="s">
        <v>25</v>
      </c>
      <c r="B13" s="27" t="s">
        <v>26</v>
      </c>
      <c r="C13" s="26"/>
      <c r="D13" s="26"/>
      <c r="E13" s="26"/>
      <c r="F13" s="26"/>
      <c r="G13" s="26"/>
      <c r="H13" s="26"/>
      <c r="I13" s="26"/>
    </row>
    <row r="14" spans="1:9" ht="11.25" customHeight="1" x14ac:dyDescent="0.25">
      <c r="A14" s="24" t="s">
        <v>27</v>
      </c>
      <c r="B14" s="29" t="s">
        <v>28</v>
      </c>
      <c r="C14" s="26">
        <f>1002+2002</f>
        <v>3004</v>
      </c>
      <c r="D14" s="26"/>
      <c r="E14" s="26"/>
      <c r="F14" s="26">
        <f>1002</f>
        <v>1002</v>
      </c>
      <c r="G14" s="26">
        <f>1000+1002</f>
        <v>2002</v>
      </c>
      <c r="H14" s="26"/>
      <c r="I14" s="26"/>
    </row>
    <row r="15" spans="1:9" ht="21.75" customHeight="1" x14ac:dyDescent="0.25">
      <c r="A15" s="24" t="s">
        <v>29</v>
      </c>
      <c r="B15" s="27" t="s">
        <v>30</v>
      </c>
      <c r="C15" s="26"/>
      <c r="D15" s="26"/>
      <c r="E15" s="26"/>
      <c r="F15" s="26"/>
      <c r="G15" s="26"/>
      <c r="H15" s="26"/>
      <c r="I15" s="26"/>
    </row>
    <row r="16" spans="1:9" ht="12" customHeight="1" x14ac:dyDescent="0.25">
      <c r="A16" s="24" t="s">
        <v>31</v>
      </c>
      <c r="B16" s="27" t="s">
        <v>32</v>
      </c>
      <c r="C16" s="26"/>
      <c r="D16" s="26"/>
      <c r="E16" s="26"/>
      <c r="F16" s="26"/>
      <c r="G16" s="26"/>
      <c r="H16" s="26"/>
      <c r="I16" s="26"/>
    </row>
    <row r="17" spans="1:22" ht="15" customHeight="1" x14ac:dyDescent="0.25">
      <c r="A17" s="24" t="s">
        <v>33</v>
      </c>
      <c r="B17" s="27" t="s">
        <v>34</v>
      </c>
      <c r="C17" s="26"/>
      <c r="D17" s="26"/>
      <c r="E17" s="26"/>
      <c r="F17" s="26"/>
      <c r="G17" s="26"/>
      <c r="H17" s="26"/>
      <c r="I17" s="26"/>
      <c r="O17" s="44"/>
      <c r="P17" s="44"/>
      <c r="Q17" s="44"/>
      <c r="R17" s="44"/>
      <c r="S17" s="44"/>
      <c r="T17" s="44"/>
      <c r="U17" s="44"/>
      <c r="V17" s="44"/>
    </row>
    <row r="18" spans="1:22" ht="11.25" customHeight="1" x14ac:dyDescent="0.25">
      <c r="A18" s="24" t="s">
        <v>35</v>
      </c>
      <c r="B18" s="29" t="s">
        <v>36</v>
      </c>
      <c r="C18" s="26"/>
      <c r="D18" s="26"/>
      <c r="E18" s="26"/>
      <c r="F18" s="26"/>
      <c r="G18" s="26"/>
      <c r="H18" s="26"/>
      <c r="I18" s="26"/>
      <c r="O18" s="44"/>
      <c r="P18" s="44"/>
      <c r="Q18" s="44"/>
      <c r="R18" s="44"/>
      <c r="S18" s="44"/>
      <c r="T18" s="44"/>
      <c r="U18" s="44"/>
      <c r="V18" s="44"/>
    </row>
    <row r="19" spans="1:22" ht="11.25" customHeight="1" x14ac:dyDescent="0.25">
      <c r="A19" s="24" t="s">
        <v>37</v>
      </c>
      <c r="B19" s="27" t="s">
        <v>38</v>
      </c>
      <c r="C19" s="26"/>
      <c r="D19" s="26"/>
      <c r="E19" s="26"/>
      <c r="F19" s="26"/>
      <c r="G19" s="26"/>
      <c r="H19" s="26"/>
      <c r="I19" s="26"/>
      <c r="O19" s="44"/>
      <c r="P19" s="44"/>
      <c r="Q19" s="44"/>
      <c r="R19" s="44"/>
      <c r="S19" s="44"/>
      <c r="T19" s="44"/>
      <c r="U19" s="44"/>
      <c r="V19" s="44"/>
    </row>
    <row r="20" spans="1:22" ht="12" customHeight="1" x14ac:dyDescent="0.25">
      <c r="A20" s="24" t="s">
        <v>39</v>
      </c>
      <c r="B20" s="27" t="s">
        <v>40</v>
      </c>
      <c r="C20" s="26"/>
      <c r="D20" s="26"/>
      <c r="E20" s="26"/>
      <c r="F20" s="26"/>
      <c r="G20" s="26"/>
      <c r="H20" s="26"/>
      <c r="I20" s="26"/>
      <c r="M20" s="40"/>
      <c r="O20" s="44"/>
      <c r="P20" s="44"/>
      <c r="Q20" s="44"/>
      <c r="R20" s="44"/>
      <c r="S20" s="44"/>
      <c r="T20" s="44"/>
      <c r="U20" s="44"/>
      <c r="V20" s="44"/>
    </row>
    <row r="21" spans="1:22" ht="9.75" customHeight="1" x14ac:dyDescent="0.25">
      <c r="A21" s="24" t="s">
        <v>41</v>
      </c>
      <c r="B21" s="27" t="s">
        <v>42</v>
      </c>
      <c r="C21" s="26"/>
      <c r="D21" s="26"/>
      <c r="E21" s="26"/>
      <c r="F21" s="26"/>
      <c r="G21" s="26"/>
      <c r="H21" s="26"/>
      <c r="I21" s="26"/>
      <c r="O21" s="44"/>
      <c r="P21" s="44"/>
      <c r="Q21" s="44"/>
      <c r="R21" s="44"/>
      <c r="S21" s="44"/>
      <c r="T21" s="44"/>
      <c r="U21" s="44"/>
      <c r="V21" s="44"/>
    </row>
    <row r="22" spans="1:22" ht="12.75" customHeight="1" x14ac:dyDescent="0.25">
      <c r="A22" s="24" t="s">
        <v>43</v>
      </c>
      <c r="B22" s="27" t="s">
        <v>44</v>
      </c>
      <c r="C22" s="26">
        <f>1002</f>
        <v>1002</v>
      </c>
      <c r="D22" s="26"/>
      <c r="E22" s="26"/>
      <c r="F22" s="26"/>
      <c r="G22" s="26">
        <f>1002</f>
        <v>1002</v>
      </c>
      <c r="H22" s="26"/>
      <c r="I22" s="26"/>
    </row>
    <row r="23" spans="1:22" ht="12.75" customHeight="1" x14ac:dyDescent="0.25">
      <c r="A23" s="24" t="s">
        <v>45</v>
      </c>
      <c r="B23" s="27" t="s">
        <v>46</v>
      </c>
      <c r="C23" s="26"/>
      <c r="D23" s="26"/>
      <c r="E23" s="26"/>
      <c r="F23" s="26"/>
      <c r="G23" s="26"/>
      <c r="H23" s="26"/>
      <c r="I23" s="26"/>
      <c r="S23" s="44"/>
    </row>
    <row r="24" spans="1:22" ht="11.25" customHeight="1" x14ac:dyDescent="0.25">
      <c r="A24" s="24" t="s">
        <v>47</v>
      </c>
      <c r="B24" s="27" t="s">
        <v>48</v>
      </c>
      <c r="C24" s="26"/>
      <c r="D24" s="26"/>
      <c r="E24" s="26"/>
      <c r="F24" s="26"/>
      <c r="G24" s="26"/>
      <c r="H24" s="26"/>
      <c r="I24" s="26"/>
    </row>
    <row r="25" spans="1:22" ht="11.25" customHeight="1" x14ac:dyDescent="0.25">
      <c r="A25" s="24" t="s">
        <v>49</v>
      </c>
      <c r="B25" s="27" t="s">
        <v>50</v>
      </c>
      <c r="C25" s="26">
        <f>315</f>
        <v>315</v>
      </c>
      <c r="D25" s="26"/>
      <c r="E25" s="26"/>
      <c r="F25" s="26">
        <f>315</f>
        <v>315</v>
      </c>
      <c r="G25" s="26"/>
      <c r="H25" s="26"/>
      <c r="I25" s="26"/>
    </row>
    <row r="26" spans="1:22" ht="11.25" customHeight="1" x14ac:dyDescent="0.25">
      <c r="A26" s="24" t="s">
        <v>51</v>
      </c>
      <c r="B26" s="27" t="s">
        <v>52</v>
      </c>
      <c r="C26" s="26"/>
      <c r="D26" s="26"/>
      <c r="E26" s="26"/>
      <c r="F26" s="26"/>
      <c r="G26" s="26"/>
      <c r="H26" s="26"/>
      <c r="I26" s="26"/>
    </row>
    <row r="27" spans="1:22" ht="11.25" customHeight="1" x14ac:dyDescent="0.25">
      <c r="A27" s="24" t="s">
        <v>53</v>
      </c>
      <c r="B27" s="27" t="s">
        <v>54</v>
      </c>
      <c r="C27" s="26"/>
      <c r="D27" s="26"/>
      <c r="E27" s="26"/>
      <c r="F27" s="26"/>
      <c r="G27" s="26"/>
      <c r="H27" s="26"/>
      <c r="I27" s="26"/>
    </row>
    <row r="28" spans="1:22" ht="11.25" customHeight="1" x14ac:dyDescent="0.25">
      <c r="A28" s="24" t="s">
        <v>55</v>
      </c>
      <c r="B28" s="27" t="s">
        <v>56</v>
      </c>
      <c r="C28" s="26"/>
      <c r="D28" s="26"/>
      <c r="E28" s="26"/>
      <c r="F28" s="26"/>
      <c r="G28" s="26"/>
      <c r="H28" s="26"/>
      <c r="I28" s="26"/>
    </row>
    <row r="29" spans="1:22" ht="10.5" customHeight="1" x14ac:dyDescent="0.25">
      <c r="A29" s="24" t="s">
        <v>57</v>
      </c>
      <c r="B29" s="27" t="s">
        <v>58</v>
      </c>
      <c r="C29" s="26"/>
      <c r="D29" s="26"/>
      <c r="E29" s="26"/>
      <c r="F29" s="26"/>
      <c r="G29" s="26"/>
      <c r="H29" s="26"/>
      <c r="I29" s="26"/>
    </row>
    <row r="30" spans="1:22" ht="9.75" customHeight="1" x14ac:dyDescent="0.25">
      <c r="A30" s="24" t="s">
        <v>59</v>
      </c>
      <c r="B30" s="29" t="s">
        <v>60</v>
      </c>
      <c r="C30" s="26"/>
      <c r="D30" s="26"/>
      <c r="E30" s="26"/>
      <c r="F30" s="26"/>
      <c r="G30" s="26"/>
      <c r="H30" s="26"/>
      <c r="I30" s="26"/>
    </row>
    <row r="31" spans="1:22" ht="9.75" customHeight="1" x14ac:dyDescent="0.25">
      <c r="A31" s="24" t="s">
        <v>61</v>
      </c>
      <c r="B31" s="27" t="s">
        <v>62</v>
      </c>
      <c r="C31" s="26"/>
      <c r="D31" s="26"/>
      <c r="E31" s="26"/>
      <c r="F31" s="26"/>
      <c r="G31" s="26"/>
      <c r="H31" s="26"/>
      <c r="I31" s="26"/>
    </row>
    <row r="32" spans="1:22" ht="9.75" customHeight="1" x14ac:dyDescent="0.25">
      <c r="A32" s="24" t="s">
        <v>63</v>
      </c>
      <c r="B32" s="27" t="s">
        <v>64</v>
      </c>
      <c r="C32" s="26"/>
      <c r="D32" s="26"/>
      <c r="E32" s="26"/>
      <c r="F32" s="26"/>
      <c r="G32" s="26"/>
      <c r="H32" s="26"/>
      <c r="I32" s="26"/>
    </row>
    <row r="33" spans="1:9" ht="12" customHeight="1" x14ac:dyDescent="0.25">
      <c r="A33" s="33" t="s">
        <v>4</v>
      </c>
      <c r="B33" s="34" t="s">
        <v>65</v>
      </c>
      <c r="C33" s="35">
        <f>16+11+13+15+11+10+12+22+36+18+20+16</f>
        <v>200</v>
      </c>
      <c r="D33" s="35"/>
      <c r="E33" s="35"/>
      <c r="F33" s="35"/>
      <c r="G33" s="38"/>
      <c r="H33" s="38"/>
      <c r="I33" s="38"/>
    </row>
    <row r="34" spans="1:9" ht="12.75" customHeight="1" x14ac:dyDescent="0.25">
      <c r="A34" s="5"/>
      <c r="B34" s="36" t="s">
        <v>3</v>
      </c>
      <c r="C34" s="37"/>
      <c r="D34" s="38"/>
      <c r="E34" s="38"/>
      <c r="F34" s="38"/>
      <c r="G34" s="38"/>
      <c r="H34" s="38"/>
      <c r="I34" s="38"/>
    </row>
    <row r="35" spans="1:9" x14ac:dyDescent="0.25">
      <c r="A35" s="5"/>
      <c r="B35" s="36" t="s">
        <v>66</v>
      </c>
      <c r="C35" s="39">
        <f>16+11+13+12+6+12+21+29+18+20+15</f>
        <v>173</v>
      </c>
      <c r="D35" s="38"/>
      <c r="E35" s="38"/>
      <c r="F35" s="38"/>
      <c r="G35" s="38"/>
      <c r="H35" s="38"/>
      <c r="I35" s="38"/>
    </row>
    <row r="36" spans="1:9" x14ac:dyDescent="0.25">
      <c r="A36" s="5"/>
      <c r="B36" s="36" t="s">
        <v>67</v>
      </c>
      <c r="C36" s="39">
        <f>0+0+0+3+11+4+0+1+7+0+0+1</f>
        <v>27</v>
      </c>
      <c r="D36" s="38"/>
      <c r="E36" s="38"/>
      <c r="F36" s="38"/>
    </row>
  </sheetData>
  <pageMargins left="0.7" right="0.7" top="0.75" bottom="0.75" header="0.3" footer="0.3"/>
  <pageSetup paperSize="9" orientation="landscape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6"/>
  <sheetViews>
    <sheetView topLeftCell="A16" workbookViewId="0">
      <selection activeCell="E39" sqref="E39"/>
    </sheetView>
  </sheetViews>
  <sheetFormatPr defaultRowHeight="15" x14ac:dyDescent="0.25"/>
  <cols>
    <col min="2" max="2" width="36.140625" customWidth="1"/>
  </cols>
  <sheetData>
    <row r="1" spans="1:12" x14ac:dyDescent="0.25">
      <c r="A1" s="1" t="s">
        <v>0</v>
      </c>
      <c r="B1" s="2"/>
      <c r="C1" s="3"/>
      <c r="D1" s="3"/>
      <c r="E1" s="3"/>
      <c r="F1" s="4"/>
      <c r="G1" s="3"/>
      <c r="H1" s="3"/>
      <c r="I1" s="4"/>
    </row>
    <row r="2" spans="1:12" x14ac:dyDescent="0.25">
      <c r="A2" s="6" t="s">
        <v>77</v>
      </c>
      <c r="B2" s="6"/>
      <c r="C2" s="3"/>
      <c r="D2" s="3"/>
      <c r="E2" s="3"/>
      <c r="F2" s="4"/>
      <c r="G2" s="3"/>
      <c r="H2" s="3"/>
      <c r="I2" s="4"/>
    </row>
    <row r="3" spans="1:12" x14ac:dyDescent="0.25">
      <c r="A3" s="8" t="s">
        <v>1</v>
      </c>
      <c r="B3" s="8"/>
      <c r="C3" s="8"/>
      <c r="D3" s="8"/>
      <c r="E3" s="8"/>
      <c r="F3" s="8"/>
      <c r="G3" s="8"/>
      <c r="H3" s="8"/>
      <c r="I3" s="8"/>
    </row>
    <row r="4" spans="1:12" x14ac:dyDescent="0.25">
      <c r="A4" s="10" t="s">
        <v>2</v>
      </c>
      <c r="B4" s="11"/>
      <c r="C4" s="11"/>
      <c r="D4" s="12" t="s">
        <v>3</v>
      </c>
      <c r="E4" s="13"/>
      <c r="F4" s="14"/>
      <c r="G4" s="13"/>
      <c r="H4" s="13"/>
      <c r="I4" s="15"/>
    </row>
    <row r="5" spans="1:12" x14ac:dyDescent="0.25">
      <c r="A5" s="16" t="s">
        <v>4</v>
      </c>
      <c r="B5" s="17" t="s">
        <v>5</v>
      </c>
      <c r="C5" s="18" t="s">
        <v>6</v>
      </c>
      <c r="D5" s="19" t="s">
        <v>7</v>
      </c>
      <c r="E5" s="20"/>
      <c r="F5" s="20"/>
      <c r="G5" s="21" t="s">
        <v>8</v>
      </c>
      <c r="H5" s="20"/>
      <c r="I5" s="20"/>
    </row>
    <row r="6" spans="1:12" x14ac:dyDescent="0.25">
      <c r="A6" s="22" t="s">
        <v>9</v>
      </c>
      <c r="B6" s="23"/>
      <c r="C6" s="23"/>
      <c r="D6" s="24" t="s">
        <v>10</v>
      </c>
      <c r="E6" s="24" t="s">
        <v>11</v>
      </c>
      <c r="F6" s="24" t="s">
        <v>12</v>
      </c>
      <c r="G6" s="24" t="s">
        <v>13</v>
      </c>
      <c r="H6" s="24" t="s">
        <v>11</v>
      </c>
      <c r="I6" s="24" t="s">
        <v>12</v>
      </c>
    </row>
    <row r="7" spans="1:12" ht="12" customHeight="1" x14ac:dyDescent="0.25">
      <c r="A7" s="49">
        <v>0</v>
      </c>
      <c r="B7" s="56" t="s">
        <v>14</v>
      </c>
      <c r="C7" s="57">
        <f>14735+11087+17294+10257+12023+10335+77405+5440+78703+4270+15672+22404</f>
        <v>279625</v>
      </c>
      <c r="D7" s="57">
        <f>3805+4121+2720+11301+4270+5180+13027</f>
        <v>44424</v>
      </c>
      <c r="E7" s="57">
        <f>13873+2720+39352</f>
        <v>55945</v>
      </c>
      <c r="F7" s="57">
        <f>14735+11087+3421+10257+8218+10335+73284+28050+10492+9377</f>
        <v>179256</v>
      </c>
      <c r="G7" s="57"/>
      <c r="H7" s="57"/>
      <c r="I7" s="57"/>
      <c r="J7" s="58"/>
      <c r="K7" s="58"/>
      <c r="L7" s="58"/>
    </row>
    <row r="8" spans="1:12" x14ac:dyDescent="0.25">
      <c r="A8" s="49" t="s">
        <v>15</v>
      </c>
      <c r="B8" s="59" t="s">
        <v>16</v>
      </c>
      <c r="C8" s="57">
        <f>14735+11087+17294+10257+12023+10335+77405+5440+78703+4270+15672+22404</f>
        <v>279625</v>
      </c>
      <c r="D8" s="57">
        <f>3805+4121+2720+11301+4270+5180+13027</f>
        <v>44424</v>
      </c>
      <c r="E8" s="57">
        <f>13873+2720+39352</f>
        <v>55945</v>
      </c>
      <c r="F8" s="57">
        <f>14735+11087+3421+10257+8218+10335+73284+28050+10492+9377</f>
        <v>179256</v>
      </c>
      <c r="G8" s="57"/>
      <c r="H8" s="57"/>
      <c r="I8" s="57"/>
      <c r="J8" s="58"/>
      <c r="K8" s="58"/>
      <c r="L8" s="58"/>
    </row>
    <row r="9" spans="1:12" ht="14.25" customHeight="1" x14ac:dyDescent="0.25">
      <c r="A9" s="49" t="s">
        <v>17</v>
      </c>
      <c r="B9" s="60" t="s">
        <v>18</v>
      </c>
      <c r="C9" s="57"/>
      <c r="D9" s="57"/>
      <c r="E9" s="57"/>
      <c r="F9" s="57"/>
      <c r="G9" s="57"/>
      <c r="H9" s="57"/>
      <c r="I9" s="57"/>
      <c r="J9" s="58"/>
      <c r="K9" s="58"/>
      <c r="L9" s="58"/>
    </row>
    <row r="10" spans="1:12" ht="12.75" customHeight="1" x14ac:dyDescent="0.25">
      <c r="A10" s="24" t="s">
        <v>19</v>
      </c>
      <c r="B10" s="27" t="s">
        <v>20</v>
      </c>
      <c r="C10" s="26"/>
      <c r="D10" s="26"/>
      <c r="E10" s="26"/>
      <c r="F10" s="26"/>
      <c r="G10" s="26"/>
      <c r="H10" s="26"/>
      <c r="I10" s="26"/>
    </row>
    <row r="11" spans="1:12" ht="12" customHeight="1" x14ac:dyDescent="0.25">
      <c r="A11" s="24" t="s">
        <v>21</v>
      </c>
      <c r="B11" s="29" t="s">
        <v>22</v>
      </c>
      <c r="C11" s="26"/>
      <c r="D11" s="26"/>
      <c r="E11" s="26"/>
      <c r="F11" s="26"/>
      <c r="G11" s="26"/>
      <c r="H11" s="26"/>
      <c r="I11" s="26"/>
    </row>
    <row r="12" spans="1:12" ht="14.25" customHeight="1" x14ac:dyDescent="0.25">
      <c r="A12" s="24" t="s">
        <v>23</v>
      </c>
      <c r="B12" s="27" t="s">
        <v>24</v>
      </c>
      <c r="C12" s="26"/>
      <c r="D12" s="26"/>
      <c r="E12" s="26"/>
      <c r="F12" s="26"/>
      <c r="G12" s="26"/>
      <c r="H12" s="26"/>
      <c r="I12" s="26"/>
    </row>
    <row r="13" spans="1:12" ht="12" customHeight="1" x14ac:dyDescent="0.25">
      <c r="A13" s="24" t="s">
        <v>25</v>
      </c>
      <c r="B13" s="27" t="s">
        <v>26</v>
      </c>
      <c r="C13" s="26"/>
      <c r="D13" s="26"/>
      <c r="E13" s="26"/>
      <c r="F13" s="26"/>
      <c r="G13" s="26"/>
      <c r="H13" s="26"/>
      <c r="I13" s="26"/>
    </row>
    <row r="14" spans="1:12" ht="13.5" customHeight="1" x14ac:dyDescent="0.25">
      <c r="A14" s="24" t="s">
        <v>27</v>
      </c>
      <c r="B14" s="29" t="s">
        <v>28</v>
      </c>
      <c r="C14" s="26"/>
      <c r="D14" s="26"/>
      <c r="E14" s="26"/>
      <c r="F14" s="26"/>
      <c r="G14" s="26"/>
      <c r="H14" s="26"/>
      <c r="I14" s="26"/>
    </row>
    <row r="15" spans="1:12" ht="24.75" customHeight="1" x14ac:dyDescent="0.25">
      <c r="A15" s="24" t="s">
        <v>29</v>
      </c>
      <c r="B15" s="27" t="s">
        <v>30</v>
      </c>
      <c r="C15" s="26"/>
      <c r="D15" s="26"/>
      <c r="E15" s="26"/>
      <c r="F15" s="26"/>
      <c r="G15" s="26"/>
      <c r="H15" s="26"/>
      <c r="I15" s="26"/>
    </row>
    <row r="16" spans="1:12" ht="13.5" customHeight="1" x14ac:dyDescent="0.25">
      <c r="A16" s="24" t="s">
        <v>31</v>
      </c>
      <c r="B16" s="27" t="s">
        <v>32</v>
      </c>
      <c r="C16" s="26"/>
      <c r="D16" s="26"/>
      <c r="E16" s="26"/>
      <c r="F16" s="26"/>
      <c r="G16" s="26"/>
      <c r="H16" s="26"/>
      <c r="I16" s="26"/>
    </row>
    <row r="17" spans="1:17" ht="12.75" customHeight="1" x14ac:dyDescent="0.25">
      <c r="A17" s="24" t="s">
        <v>33</v>
      </c>
      <c r="B17" s="27" t="s">
        <v>34</v>
      </c>
      <c r="C17" s="26"/>
      <c r="D17" s="26"/>
      <c r="E17" s="26"/>
      <c r="F17" s="26"/>
      <c r="G17" s="26"/>
      <c r="H17" s="26"/>
      <c r="I17" s="26"/>
    </row>
    <row r="18" spans="1:17" ht="23.25" customHeight="1" x14ac:dyDescent="0.25">
      <c r="A18" s="24" t="s">
        <v>35</v>
      </c>
      <c r="B18" s="29" t="s">
        <v>36</v>
      </c>
      <c r="C18" s="26"/>
      <c r="D18" s="26"/>
      <c r="E18" s="26"/>
      <c r="F18" s="26"/>
      <c r="G18" s="26"/>
      <c r="H18" s="26"/>
      <c r="I18" s="26"/>
    </row>
    <row r="19" spans="1:17" ht="12.75" customHeight="1" x14ac:dyDescent="0.25">
      <c r="A19" s="24" t="s">
        <v>37</v>
      </c>
      <c r="B19" s="27" t="s">
        <v>38</v>
      </c>
      <c r="C19" s="26"/>
      <c r="D19" s="26"/>
      <c r="E19" s="26"/>
      <c r="F19" s="26"/>
      <c r="G19" s="26"/>
      <c r="H19" s="26"/>
      <c r="I19" s="26"/>
      <c r="Q19" s="40"/>
    </row>
    <row r="20" spans="1:17" ht="11.25" customHeight="1" x14ac:dyDescent="0.25">
      <c r="A20" s="24" t="s">
        <v>39</v>
      </c>
      <c r="B20" s="27" t="s">
        <v>40</v>
      </c>
      <c r="C20" s="26"/>
      <c r="D20" s="26"/>
      <c r="E20" s="26"/>
      <c r="F20" s="26"/>
      <c r="G20" s="26"/>
      <c r="H20" s="26"/>
      <c r="I20" s="26"/>
    </row>
    <row r="21" spans="1:17" ht="12" customHeight="1" x14ac:dyDescent="0.25">
      <c r="A21" s="24" t="s">
        <v>41</v>
      </c>
      <c r="B21" s="27" t="s">
        <v>42</v>
      </c>
      <c r="C21" s="26"/>
      <c r="D21" s="26"/>
      <c r="E21" s="26"/>
      <c r="F21" s="26"/>
      <c r="G21" s="26"/>
      <c r="H21" s="26"/>
      <c r="I21" s="26"/>
    </row>
    <row r="22" spans="1:17" ht="12.75" customHeight="1" x14ac:dyDescent="0.25">
      <c r="A22" s="24" t="s">
        <v>43</v>
      </c>
      <c r="B22" s="27" t="s">
        <v>44</v>
      </c>
      <c r="C22" s="26"/>
      <c r="D22" s="26"/>
      <c r="E22" s="26"/>
      <c r="F22" s="26"/>
      <c r="G22" s="26"/>
      <c r="H22" s="26"/>
      <c r="I22" s="26"/>
    </row>
    <row r="23" spans="1:17" ht="12" customHeight="1" x14ac:dyDescent="0.25">
      <c r="A23" s="24" t="s">
        <v>45</v>
      </c>
      <c r="B23" s="27" t="s">
        <v>46</v>
      </c>
      <c r="C23" s="26"/>
      <c r="D23" s="26"/>
      <c r="E23" s="26"/>
      <c r="F23" s="26"/>
      <c r="G23" s="26"/>
      <c r="H23" s="26"/>
      <c r="I23" s="26"/>
    </row>
    <row r="24" spans="1:17" ht="12.75" customHeight="1" x14ac:dyDescent="0.25">
      <c r="A24" s="24" t="s">
        <v>47</v>
      </c>
      <c r="B24" s="27" t="s">
        <v>48</v>
      </c>
      <c r="C24" s="26"/>
      <c r="D24" s="26"/>
      <c r="E24" s="26"/>
      <c r="F24" s="26"/>
      <c r="G24" s="26"/>
      <c r="H24" s="26"/>
      <c r="I24" s="26"/>
    </row>
    <row r="25" spans="1:17" ht="12.75" customHeight="1" x14ac:dyDescent="0.25">
      <c r="A25" s="24" t="s">
        <v>49</v>
      </c>
      <c r="B25" s="27" t="s">
        <v>50</v>
      </c>
      <c r="C25" s="26"/>
      <c r="D25" s="26"/>
      <c r="E25" s="26"/>
      <c r="F25" s="26"/>
      <c r="G25" s="26"/>
      <c r="H25" s="26"/>
      <c r="I25" s="26"/>
    </row>
    <row r="26" spans="1:17" ht="12" customHeight="1" x14ac:dyDescent="0.25">
      <c r="A26" s="24" t="s">
        <v>51</v>
      </c>
      <c r="B26" s="27" t="s">
        <v>52</v>
      </c>
      <c r="C26" s="26"/>
      <c r="D26" s="26"/>
      <c r="E26" s="26"/>
      <c r="F26" s="26"/>
      <c r="G26" s="26"/>
      <c r="H26" s="26"/>
      <c r="I26" s="26"/>
    </row>
    <row r="27" spans="1:17" ht="12.75" customHeight="1" x14ac:dyDescent="0.25">
      <c r="A27" s="24" t="s">
        <v>53</v>
      </c>
      <c r="B27" s="27" t="s">
        <v>54</v>
      </c>
      <c r="C27" s="26"/>
      <c r="D27" s="26"/>
      <c r="E27" s="26"/>
      <c r="F27" s="26"/>
      <c r="G27" s="26"/>
      <c r="H27" s="26"/>
      <c r="I27" s="26"/>
    </row>
    <row r="28" spans="1:17" ht="12" customHeight="1" x14ac:dyDescent="0.25">
      <c r="A28" s="24" t="s">
        <v>55</v>
      </c>
      <c r="B28" s="27" t="s">
        <v>56</v>
      </c>
      <c r="C28" s="26"/>
      <c r="D28" s="26"/>
      <c r="E28" s="26"/>
      <c r="F28" s="26"/>
      <c r="G28" s="26"/>
      <c r="H28" s="26"/>
      <c r="I28" s="26"/>
    </row>
    <row r="29" spans="1:17" ht="12" customHeight="1" x14ac:dyDescent="0.25">
      <c r="A29" s="24" t="s">
        <v>57</v>
      </c>
      <c r="B29" s="27" t="s">
        <v>58</v>
      </c>
      <c r="C29" s="26"/>
      <c r="D29" s="26"/>
      <c r="E29" s="26"/>
      <c r="F29" s="26"/>
      <c r="G29" s="26"/>
      <c r="H29" s="26"/>
      <c r="I29" s="26"/>
    </row>
    <row r="30" spans="1:17" ht="14.25" customHeight="1" x14ac:dyDescent="0.25">
      <c r="A30" s="24" t="s">
        <v>59</v>
      </c>
      <c r="B30" s="29" t="s">
        <v>60</v>
      </c>
      <c r="C30" s="26"/>
      <c r="D30" s="26"/>
      <c r="E30" s="26"/>
      <c r="F30" s="26"/>
      <c r="G30" s="26"/>
      <c r="H30" s="26"/>
      <c r="I30" s="26"/>
    </row>
    <row r="31" spans="1:17" ht="11.25" customHeight="1" x14ac:dyDescent="0.25">
      <c r="A31" s="24" t="s">
        <v>61</v>
      </c>
      <c r="B31" s="27" t="s">
        <v>62</v>
      </c>
      <c r="C31" s="26"/>
      <c r="D31" s="26"/>
      <c r="E31" s="26"/>
      <c r="F31" s="26"/>
      <c r="G31" s="26"/>
      <c r="H31" s="26"/>
      <c r="I31" s="26"/>
    </row>
    <row r="32" spans="1:17" ht="12" customHeight="1" x14ac:dyDescent="0.25">
      <c r="A32" s="24" t="s">
        <v>63</v>
      </c>
      <c r="B32" s="27" t="s">
        <v>64</v>
      </c>
      <c r="C32" s="26"/>
      <c r="D32" s="26"/>
      <c r="E32" s="26"/>
      <c r="F32" s="26"/>
      <c r="G32" s="26"/>
      <c r="H32" s="26"/>
      <c r="I32" s="26"/>
    </row>
    <row r="33" spans="1:9" x14ac:dyDescent="0.25">
      <c r="A33" s="33" t="s">
        <v>4</v>
      </c>
      <c r="B33" s="34" t="s">
        <v>65</v>
      </c>
      <c r="C33" s="35">
        <f>16+12+26+10+13+8+61+30+47+6+17</f>
        <v>246</v>
      </c>
      <c r="D33" s="38"/>
      <c r="E33" s="38"/>
      <c r="F33" s="38"/>
      <c r="G33" s="38"/>
      <c r="H33" s="38"/>
      <c r="I33" s="38"/>
    </row>
    <row r="34" spans="1:9" x14ac:dyDescent="0.25">
      <c r="A34" s="5"/>
      <c r="B34" s="36" t="s">
        <v>3</v>
      </c>
      <c r="C34" s="37"/>
      <c r="D34" s="38"/>
      <c r="E34" s="38"/>
      <c r="F34" s="38"/>
      <c r="G34" s="38"/>
      <c r="H34" s="38"/>
      <c r="I34" s="38"/>
    </row>
    <row r="35" spans="1:9" x14ac:dyDescent="0.25">
      <c r="A35" s="5"/>
      <c r="B35" s="36" t="s">
        <v>66</v>
      </c>
      <c r="C35" s="39">
        <f>13+11+18+9+9+7+47+27+18+6+6</f>
        <v>171</v>
      </c>
      <c r="D35" s="38"/>
      <c r="E35" s="38"/>
      <c r="F35" s="38"/>
      <c r="G35" s="38"/>
      <c r="H35" s="38"/>
      <c r="I35" s="38"/>
    </row>
    <row r="36" spans="1:9" x14ac:dyDescent="0.25">
      <c r="A36" s="5"/>
      <c r="B36" s="36" t="s">
        <v>67</v>
      </c>
      <c r="C36" s="39">
        <f>3+1+8+1+4+1+14+3+29+0+11</f>
        <v>75</v>
      </c>
    </row>
  </sheetData>
  <pageMargins left="0.7" right="0.7" top="0.75" bottom="0.75" header="0.3" footer="0.3"/>
  <pageSetup paperSize="9" orientation="landscape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7"/>
  <sheetViews>
    <sheetView topLeftCell="B16" zoomScale="130" zoomScaleNormal="130" workbookViewId="0">
      <selection activeCell="H33" sqref="H33:H35"/>
    </sheetView>
  </sheetViews>
  <sheetFormatPr defaultRowHeight="15" x14ac:dyDescent="0.25"/>
  <cols>
    <col min="1" max="1" width="9.140625" hidden="1" customWidth="1"/>
    <col min="2" max="2" width="3.140625" customWidth="1"/>
    <col min="3" max="3" width="55.28515625" customWidth="1"/>
    <col min="4" max="5" width="7.28515625" customWidth="1"/>
    <col min="6" max="6" width="6.140625" customWidth="1"/>
    <col min="7" max="7" width="6.5703125" customWidth="1"/>
    <col min="8" max="8" width="6.7109375" customWidth="1"/>
    <col min="9" max="9" width="6.85546875" customWidth="1"/>
    <col min="10" max="10" width="7.5703125" customWidth="1"/>
  </cols>
  <sheetData>
    <row r="1" spans="2:11" x14ac:dyDescent="0.25">
      <c r="C1" s="1" t="s">
        <v>0</v>
      </c>
      <c r="D1" s="2"/>
      <c r="E1" s="3"/>
      <c r="F1" s="3"/>
      <c r="G1" s="3"/>
      <c r="H1" s="4"/>
      <c r="I1" s="3"/>
      <c r="J1" s="3"/>
      <c r="K1" s="4"/>
    </row>
    <row r="2" spans="2:11" x14ac:dyDescent="0.25">
      <c r="C2" s="6" t="s">
        <v>82</v>
      </c>
      <c r="D2" s="6"/>
      <c r="E2" s="3"/>
      <c r="F2" s="3"/>
      <c r="G2" s="3"/>
      <c r="H2" s="4"/>
      <c r="I2" s="3"/>
      <c r="J2" s="3"/>
      <c r="K2" s="4"/>
    </row>
    <row r="3" spans="2:11" x14ac:dyDescent="0.25">
      <c r="C3" s="8" t="s">
        <v>1</v>
      </c>
      <c r="D3" s="8"/>
      <c r="E3" s="8"/>
      <c r="F3" s="8"/>
      <c r="G3" s="8"/>
      <c r="H3" s="8"/>
      <c r="I3" s="8"/>
      <c r="J3" s="8"/>
      <c r="K3" s="8"/>
    </row>
    <row r="4" spans="2:11" x14ac:dyDescent="0.25">
      <c r="B4" s="10" t="s">
        <v>2</v>
      </c>
      <c r="C4" s="11"/>
      <c r="D4" s="11"/>
      <c r="E4" s="12" t="s">
        <v>3</v>
      </c>
      <c r="F4" s="13"/>
      <c r="G4" s="14"/>
      <c r="H4" s="13"/>
      <c r="I4" s="13"/>
      <c r="J4" s="15"/>
    </row>
    <row r="5" spans="2:11" ht="14.25" customHeight="1" x14ac:dyDescent="0.25">
      <c r="B5" s="16" t="s">
        <v>4</v>
      </c>
      <c r="C5" s="17" t="s">
        <v>5</v>
      </c>
      <c r="D5" s="18" t="s">
        <v>6</v>
      </c>
      <c r="E5" s="19" t="s">
        <v>7</v>
      </c>
      <c r="F5" s="20"/>
      <c r="G5" s="20"/>
      <c r="H5" s="21" t="s">
        <v>8</v>
      </c>
      <c r="I5" s="20"/>
      <c r="J5" s="20"/>
    </row>
    <row r="6" spans="2:11" ht="9.75" customHeight="1" x14ac:dyDescent="0.25">
      <c r="B6" s="22" t="s">
        <v>9</v>
      </c>
      <c r="C6" s="23"/>
      <c r="D6" s="23"/>
      <c r="E6" s="24" t="s">
        <v>10</v>
      </c>
      <c r="F6" s="24" t="s">
        <v>11</v>
      </c>
      <c r="G6" s="24" t="s">
        <v>12</v>
      </c>
      <c r="H6" s="24" t="s">
        <v>13</v>
      </c>
      <c r="I6" s="24" t="s">
        <v>11</v>
      </c>
      <c r="J6" s="24" t="s">
        <v>12</v>
      </c>
    </row>
    <row r="7" spans="2:11" ht="11.25" customHeight="1" x14ac:dyDescent="0.25">
      <c r="B7" s="24">
        <v>0</v>
      </c>
      <c r="C7" s="25" t="s">
        <v>14</v>
      </c>
      <c r="D7" s="26">
        <f>62908+74222+85906+63794+59485+81691+126344+128672+106350+86281+73260+60013</f>
        <v>1008926</v>
      </c>
      <c r="E7" s="26">
        <f>1216+899+20509+1854+9320+3286+1611</f>
        <v>38695</v>
      </c>
      <c r="F7" s="26"/>
      <c r="G7" s="26">
        <f>6830+3342+17203+7382+5654+3518+45252+59185+35553+16882+7567+10674</f>
        <v>219042</v>
      </c>
      <c r="H7" s="26">
        <f>47176+48626+55893+33156+39745+36264+41030+22410+28082+24098+37037+33950</f>
        <v>447467</v>
      </c>
      <c r="I7" s="26"/>
      <c r="J7" s="26">
        <f>8902+22254+12810+23256+14086+40693+39163+26568+40861+35981+25370+13778</f>
        <v>303722</v>
      </c>
    </row>
    <row r="8" spans="2:11" x14ac:dyDescent="0.25">
      <c r="B8" s="24" t="s">
        <v>15</v>
      </c>
      <c r="C8" s="27" t="s">
        <v>16</v>
      </c>
      <c r="D8" s="26">
        <f>6830+4442+17203+7382+5654+11726+47287+40453+37882+31920+8284+8924</f>
        <v>227987</v>
      </c>
      <c r="E8" s="26">
        <f>1216+899+1032+1854+9320+717+1049</f>
        <v>16087</v>
      </c>
      <c r="F8" s="26"/>
      <c r="G8" s="26">
        <f>6830+3342+17203+7382+5654+3518+45252+39421+35101+15870+7567+7875</f>
        <v>195015</v>
      </c>
      <c r="H8" s="26">
        <f>1100+1136+927</f>
        <v>3163</v>
      </c>
      <c r="I8" s="26"/>
      <c r="J8" s="26">
        <f>6992+6730</f>
        <v>13722</v>
      </c>
    </row>
    <row r="9" spans="2:11" ht="12.75" customHeight="1" x14ac:dyDescent="0.25">
      <c r="B9" s="24" t="s">
        <v>17</v>
      </c>
      <c r="C9" s="28" t="s">
        <v>18</v>
      </c>
      <c r="D9" s="26"/>
      <c r="E9" s="26"/>
      <c r="F9" s="26"/>
      <c r="G9" s="26"/>
      <c r="H9" s="26"/>
      <c r="I9" s="26"/>
      <c r="J9" s="26"/>
    </row>
    <row r="10" spans="2:11" ht="13.5" customHeight="1" x14ac:dyDescent="0.25">
      <c r="B10" s="24" t="s">
        <v>19</v>
      </c>
      <c r="C10" s="27" t="s">
        <v>20</v>
      </c>
      <c r="D10" s="26"/>
      <c r="E10" s="26"/>
      <c r="F10" s="26"/>
      <c r="G10" s="26"/>
      <c r="H10" s="26"/>
      <c r="I10" s="26"/>
      <c r="J10" s="26"/>
    </row>
    <row r="11" spans="2:11" ht="12" customHeight="1" x14ac:dyDescent="0.25">
      <c r="B11" s="24" t="s">
        <v>21</v>
      </c>
      <c r="C11" s="29" t="s">
        <v>22</v>
      </c>
      <c r="D11" s="26"/>
      <c r="E11" s="26"/>
      <c r="F11" s="26"/>
      <c r="G11" s="26"/>
      <c r="H11" s="26"/>
      <c r="I11" s="26"/>
      <c r="J11" s="26"/>
    </row>
    <row r="12" spans="2:11" ht="14.25" customHeight="1" x14ac:dyDescent="0.25">
      <c r="B12" s="24" t="s">
        <v>23</v>
      </c>
      <c r="C12" s="27" t="s">
        <v>24</v>
      </c>
      <c r="D12" s="26">
        <f>9327+452+2074+3361</f>
        <v>15214</v>
      </c>
      <c r="E12" s="26">
        <f>2074+562</f>
        <v>2636</v>
      </c>
      <c r="F12" s="26"/>
      <c r="G12" s="26">
        <f>9327+452+2799</f>
        <v>12578</v>
      </c>
      <c r="H12" s="26"/>
      <c r="I12" s="26"/>
      <c r="J12" s="26"/>
    </row>
    <row r="13" spans="2:11" ht="12.75" customHeight="1" x14ac:dyDescent="0.25">
      <c r="B13" s="24" t="s">
        <v>25</v>
      </c>
      <c r="C13" s="27" t="s">
        <v>26</v>
      </c>
      <c r="D13" s="26"/>
      <c r="E13" s="26"/>
      <c r="F13" s="26"/>
      <c r="G13" s="26"/>
      <c r="H13" s="26"/>
      <c r="I13" s="26"/>
      <c r="J13" s="26"/>
    </row>
    <row r="14" spans="2:11" ht="13.5" customHeight="1" x14ac:dyDescent="0.25">
      <c r="B14" s="24" t="s">
        <v>27</v>
      </c>
      <c r="C14" s="29" t="s">
        <v>28</v>
      </c>
      <c r="D14" s="26">
        <f>14335+21638+16570+9133+14838+22519+33217+20760+12763+5304+12268+11259</f>
        <v>194604</v>
      </c>
      <c r="E14" s="26">
        <f>12323+495</f>
        <v>12818</v>
      </c>
      <c r="F14" s="26"/>
      <c r="G14" s="26">
        <f>1012</f>
        <v>1012</v>
      </c>
      <c r="H14" s="26">
        <f>14335+12003+16570+4970+13756+9555+19094+5576+7359+4292+11773+10273</f>
        <v>129556</v>
      </c>
      <c r="I14" s="26"/>
      <c r="J14" s="26">
        <f>9635+4163+1082+12964+14123+2861+5404+986</f>
        <v>51218</v>
      </c>
    </row>
    <row r="15" spans="2:11" ht="12" customHeight="1" x14ac:dyDescent="0.25">
      <c r="B15" s="24" t="s">
        <v>29</v>
      </c>
      <c r="C15" s="27" t="s">
        <v>30</v>
      </c>
      <c r="D15" s="26">
        <f>2356+12404+13780+9500+4816</f>
        <v>42856</v>
      </c>
      <c r="E15" s="26"/>
      <c r="F15" s="26"/>
      <c r="G15" s="26"/>
      <c r="H15" s="26">
        <f>2356+1457</f>
        <v>3813</v>
      </c>
      <c r="I15" s="26"/>
      <c r="J15" s="26">
        <f>12404+12323+9500+4816</f>
        <v>39043</v>
      </c>
    </row>
    <row r="16" spans="2:11" ht="10.5" customHeight="1" x14ac:dyDescent="0.25">
      <c r="B16" s="24" t="s">
        <v>31</v>
      </c>
      <c r="C16" s="27" t="s">
        <v>32</v>
      </c>
      <c r="D16" s="26"/>
      <c r="E16" s="26"/>
      <c r="F16" s="26"/>
      <c r="G16" s="26"/>
      <c r="H16" s="26"/>
      <c r="I16" s="26"/>
      <c r="J16" s="26"/>
    </row>
    <row r="17" spans="2:10" ht="10.5" customHeight="1" x14ac:dyDescent="0.25">
      <c r="B17" s="24" t="s">
        <v>33</v>
      </c>
      <c r="C17" s="27" t="s">
        <v>34</v>
      </c>
      <c r="D17" s="26"/>
      <c r="E17" s="26"/>
      <c r="F17" s="26"/>
      <c r="G17" s="26"/>
      <c r="H17" s="26"/>
      <c r="I17" s="26"/>
      <c r="J17" s="26"/>
    </row>
    <row r="18" spans="2:10" ht="13.5" customHeight="1" x14ac:dyDescent="0.25">
      <c r="B18" s="24" t="s">
        <v>35</v>
      </c>
      <c r="C18" s="29" t="s">
        <v>36</v>
      </c>
      <c r="D18" s="26"/>
      <c r="E18" s="26"/>
      <c r="F18" s="26"/>
      <c r="G18" s="26"/>
      <c r="H18" s="26"/>
      <c r="I18" s="26"/>
      <c r="J18" s="26"/>
    </row>
    <row r="19" spans="2:10" ht="17.25" customHeight="1" x14ac:dyDescent="0.25">
      <c r="B19" s="24" t="s">
        <v>37</v>
      </c>
      <c r="C19" s="27" t="s">
        <v>38</v>
      </c>
      <c r="D19" s="26"/>
      <c r="E19" s="26"/>
      <c r="F19" s="26"/>
      <c r="G19" s="26"/>
      <c r="H19" s="26"/>
      <c r="I19" s="26"/>
      <c r="J19" s="26"/>
    </row>
    <row r="20" spans="2:10" ht="13.5" customHeight="1" x14ac:dyDescent="0.25">
      <c r="B20" s="24" t="s">
        <v>39</v>
      </c>
      <c r="C20" s="27" t="s">
        <v>40</v>
      </c>
      <c r="D20" s="26"/>
      <c r="E20" s="26"/>
      <c r="F20" s="26"/>
      <c r="G20" s="26"/>
      <c r="H20" s="26"/>
      <c r="I20" s="26"/>
      <c r="J20" s="26"/>
    </row>
    <row r="21" spans="2:10" ht="12.75" customHeight="1" x14ac:dyDescent="0.25">
      <c r="B21" s="24" t="s">
        <v>41</v>
      </c>
      <c r="C21" s="27" t="s">
        <v>42</v>
      </c>
      <c r="D21" s="26"/>
      <c r="E21" s="26"/>
      <c r="F21" s="26"/>
      <c r="G21" s="26"/>
      <c r="H21" s="26"/>
      <c r="I21" s="26"/>
      <c r="J21" s="26"/>
    </row>
    <row r="22" spans="2:10" ht="12" customHeight="1" x14ac:dyDescent="0.25">
      <c r="B22" s="24" t="s">
        <v>43</v>
      </c>
      <c r="C22" s="27" t="s">
        <v>44</v>
      </c>
      <c r="D22" s="26">
        <f>29833+23911+32600+27327+22956+29206+28925+36655+27380+16811+26093+19454</f>
        <v>321151</v>
      </c>
      <c r="E22" s="26">
        <f>2833</f>
        <v>2833</v>
      </c>
      <c r="F22" s="26"/>
      <c r="G22" s="26"/>
      <c r="H22" s="26">
        <f>20931+12456+19790+10289+9952+8469+9846+10115+9130+800+10223+11478</f>
        <v>133479</v>
      </c>
      <c r="I22" s="26"/>
      <c r="J22" s="26">
        <f>8902+11455+12810+17038+13004+20737+19079+23707+18250+16011+15870+7976</f>
        <v>184839</v>
      </c>
    </row>
    <row r="23" spans="2:10" ht="11.25" customHeight="1" x14ac:dyDescent="0.25">
      <c r="B23" s="49" t="s">
        <v>45</v>
      </c>
      <c r="C23" s="50" t="s">
        <v>46</v>
      </c>
      <c r="D23" s="48"/>
      <c r="E23" s="48"/>
      <c r="F23" s="48"/>
      <c r="G23" s="48"/>
      <c r="H23" s="48"/>
      <c r="I23" s="48"/>
      <c r="J23" s="48"/>
    </row>
    <row r="24" spans="2:10" ht="11.25" customHeight="1" x14ac:dyDescent="0.25">
      <c r="B24" s="24" t="s">
        <v>47</v>
      </c>
      <c r="C24" s="27" t="s">
        <v>48</v>
      </c>
      <c r="D24" s="26"/>
      <c r="E24" s="26"/>
      <c r="F24" s="26"/>
      <c r="G24" s="26"/>
      <c r="H24" s="26"/>
      <c r="I24" s="26"/>
      <c r="J24" s="26"/>
    </row>
    <row r="25" spans="2:10" ht="11.25" customHeight="1" x14ac:dyDescent="0.25">
      <c r="B25" s="24" t="s">
        <v>49</v>
      </c>
      <c r="C25" s="27" t="s">
        <v>50</v>
      </c>
      <c r="D25" s="26">
        <f>2476+2405+1282+3398+2329+2365+2181+1817+917+3913+5272</f>
        <v>28355</v>
      </c>
      <c r="E25" s="26"/>
      <c r="F25" s="26"/>
      <c r="G25" s="26"/>
      <c r="H25" s="26">
        <f>2476+1241+1282+3398+2329+2365+2181+1817+3913+5272</f>
        <v>26274</v>
      </c>
      <c r="I25" s="26"/>
      <c r="J25" s="26">
        <f>1164+917</f>
        <v>2081</v>
      </c>
    </row>
    <row r="26" spans="2:10" ht="14.25" customHeight="1" x14ac:dyDescent="0.25">
      <c r="B26" s="24" t="s">
        <v>51</v>
      </c>
      <c r="C26" s="27" t="s">
        <v>52</v>
      </c>
      <c r="D26" s="26"/>
      <c r="E26" s="26"/>
      <c r="F26" s="26"/>
      <c r="G26" s="26"/>
      <c r="H26" s="26"/>
      <c r="I26" s="26"/>
      <c r="J26" s="26"/>
    </row>
    <row r="27" spans="2:10" ht="12.75" customHeight="1" x14ac:dyDescent="0.25">
      <c r="B27" s="24" t="s">
        <v>53</v>
      </c>
      <c r="C27" s="27" t="s">
        <v>54</v>
      </c>
      <c r="D27" s="26">
        <f>1100+1099</f>
        <v>2199</v>
      </c>
      <c r="E27" s="26"/>
      <c r="F27" s="26"/>
      <c r="G27" s="26"/>
      <c r="H27" s="26">
        <f>1100+1099</f>
        <v>2199</v>
      </c>
      <c r="I27" s="26"/>
      <c r="J27" s="26"/>
    </row>
    <row r="28" spans="2:10" ht="12.75" customHeight="1" x14ac:dyDescent="0.25">
      <c r="B28" s="24" t="s">
        <v>55</v>
      </c>
      <c r="C28" s="27" t="s">
        <v>56</v>
      </c>
      <c r="D28" s="26">
        <f>9434+21683+18251+16554+12608+15884+14550+19296+12553+17549+11128+6822</f>
        <v>176312</v>
      </c>
      <c r="E28" s="26">
        <f>4321</f>
        <v>4321</v>
      </c>
      <c r="F28" s="26"/>
      <c r="G28" s="26">
        <f>10437</f>
        <v>10437</v>
      </c>
      <c r="H28" s="26">
        <f>9434+21683+18251+14499+12608+15884+8589+4538+7750+17549+11128+6822</f>
        <v>148735</v>
      </c>
      <c r="I28" s="26"/>
      <c r="J28" s="26">
        <f>2055+5961+4803</f>
        <v>12819</v>
      </c>
    </row>
    <row r="29" spans="2:10" ht="13.5" customHeight="1" x14ac:dyDescent="0.25">
      <c r="B29" s="24" t="s">
        <v>57</v>
      </c>
      <c r="C29" s="27" t="s">
        <v>58</v>
      </c>
      <c r="D29" s="26">
        <f>105</f>
        <v>105</v>
      </c>
      <c r="E29" s="26"/>
      <c r="F29" s="26"/>
      <c r="G29" s="26"/>
      <c r="H29" s="26">
        <f>105</f>
        <v>105</v>
      </c>
      <c r="I29" s="26"/>
      <c r="J29" s="26"/>
    </row>
    <row r="30" spans="2:10" ht="12" customHeight="1" x14ac:dyDescent="0.25">
      <c r="B30" s="24" t="s">
        <v>59</v>
      </c>
      <c r="C30" s="29" t="s">
        <v>60</v>
      </c>
      <c r="D30" s="26"/>
      <c r="E30" s="26"/>
      <c r="F30" s="26"/>
      <c r="G30" s="26"/>
      <c r="H30" s="26"/>
      <c r="I30" s="26"/>
      <c r="J30" s="26"/>
    </row>
    <row r="31" spans="2:10" ht="11.25" customHeight="1" x14ac:dyDescent="0.25">
      <c r="B31" s="24" t="s">
        <v>61</v>
      </c>
      <c r="C31" s="27" t="s">
        <v>62</v>
      </c>
      <c r="D31" s="26">
        <f>143</f>
        <v>143</v>
      </c>
      <c r="E31" s="26"/>
      <c r="F31" s="26"/>
      <c r="G31" s="26"/>
      <c r="H31" s="26">
        <f>143</f>
        <v>143</v>
      </c>
      <c r="I31" s="26"/>
      <c r="J31" s="26"/>
    </row>
    <row r="32" spans="2:10" ht="11.25" customHeight="1" x14ac:dyDescent="0.25">
      <c r="B32" s="24" t="s">
        <v>63</v>
      </c>
      <c r="C32" s="27" t="s">
        <v>64</v>
      </c>
      <c r="D32" s="26"/>
      <c r="E32" s="26"/>
      <c r="F32" s="26"/>
      <c r="G32" s="26"/>
      <c r="H32" s="26"/>
      <c r="I32" s="26"/>
      <c r="J32" s="26"/>
    </row>
    <row r="33" spans="2:10" ht="10.5" customHeight="1" x14ac:dyDescent="0.25">
      <c r="B33" s="30"/>
      <c r="C33" s="34" t="s">
        <v>65</v>
      </c>
      <c r="D33" s="42">
        <f>63+70+83+53+55+82+117+104+88+79+81+62</f>
        <v>937</v>
      </c>
      <c r="E33" s="32"/>
      <c r="F33" s="32"/>
      <c r="G33" s="32"/>
      <c r="H33" s="32"/>
      <c r="I33" s="32"/>
      <c r="J33" s="32"/>
    </row>
    <row r="34" spans="2:10" x14ac:dyDescent="0.25">
      <c r="B34" s="33" t="s">
        <v>4</v>
      </c>
      <c r="C34" s="36" t="s">
        <v>3</v>
      </c>
      <c r="D34" s="35"/>
      <c r="E34" s="35"/>
      <c r="F34" s="35"/>
      <c r="G34" s="35"/>
      <c r="H34" s="35"/>
      <c r="I34" s="35"/>
      <c r="J34" s="35"/>
    </row>
    <row r="35" spans="2:10" ht="11.25" customHeight="1" x14ac:dyDescent="0.25">
      <c r="B35" s="5"/>
      <c r="C35" s="36" t="s">
        <v>66</v>
      </c>
      <c r="D35" s="37">
        <f>20+21+30+24+19+38+64+39+45+42+36+30</f>
        <v>408</v>
      </c>
      <c r="E35" s="38"/>
      <c r="F35" s="38"/>
      <c r="G35" s="38"/>
      <c r="H35" s="38"/>
      <c r="I35" s="38"/>
      <c r="J35" s="38"/>
    </row>
    <row r="36" spans="2:10" ht="11.25" customHeight="1" x14ac:dyDescent="0.25">
      <c r="B36" s="5"/>
      <c r="C36" s="36" t="s">
        <v>67</v>
      </c>
      <c r="D36" s="39">
        <f>43+49+53+29+36+44+53+65+43+37+45+32</f>
        <v>529</v>
      </c>
      <c r="E36" s="38"/>
      <c r="F36" s="38"/>
      <c r="G36" s="38"/>
      <c r="H36" s="38"/>
      <c r="I36" s="38"/>
      <c r="J36" s="38"/>
    </row>
    <row r="37" spans="2:10" ht="10.5" customHeight="1" x14ac:dyDescent="0.25">
      <c r="B37" s="5"/>
      <c r="D37" s="39"/>
      <c r="E37" s="38"/>
      <c r="F37" s="38"/>
      <c r="G37" s="38"/>
      <c r="H37" s="38"/>
      <c r="I37" s="38"/>
      <c r="J37" s="38"/>
    </row>
  </sheetData>
  <pageMargins left="0.7" right="0.7" top="0.75" bottom="0.75" header="0.3" footer="0.3"/>
  <pageSetup paperSize="9" orientation="landscape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6"/>
  <sheetViews>
    <sheetView topLeftCell="A19" zoomScale="110" zoomScaleNormal="110" workbookViewId="0">
      <selection activeCell="G33" sqref="G33:G34"/>
    </sheetView>
  </sheetViews>
  <sheetFormatPr defaultRowHeight="15" x14ac:dyDescent="0.25"/>
  <cols>
    <col min="2" max="2" width="36.140625" customWidth="1"/>
  </cols>
  <sheetData>
    <row r="1" spans="1:10" x14ac:dyDescent="0.25">
      <c r="A1" s="1" t="s">
        <v>0</v>
      </c>
      <c r="B1" s="2"/>
      <c r="C1" s="3"/>
      <c r="D1" s="3"/>
      <c r="E1" s="3"/>
      <c r="F1" s="4"/>
      <c r="G1" s="3"/>
      <c r="H1" s="3"/>
      <c r="I1" s="4"/>
    </row>
    <row r="2" spans="1:10" x14ac:dyDescent="0.25">
      <c r="A2" s="6" t="s">
        <v>70</v>
      </c>
      <c r="B2" s="6" t="s">
        <v>78</v>
      </c>
      <c r="C2" s="3"/>
      <c r="D2" s="3"/>
      <c r="E2" s="3"/>
      <c r="F2" s="4"/>
      <c r="G2" s="3"/>
      <c r="H2" s="3"/>
      <c r="I2" s="4"/>
    </row>
    <row r="3" spans="1:10" x14ac:dyDescent="0.25">
      <c r="A3" s="8" t="s">
        <v>1</v>
      </c>
      <c r="B3" s="8"/>
      <c r="C3" s="8"/>
      <c r="D3" s="8"/>
      <c r="E3" s="8"/>
      <c r="F3" s="8"/>
      <c r="G3" s="8"/>
      <c r="H3" s="8"/>
      <c r="I3" s="8"/>
    </row>
    <row r="4" spans="1:10" x14ac:dyDescent="0.25">
      <c r="A4" s="10" t="s">
        <v>2</v>
      </c>
      <c r="B4" s="11"/>
      <c r="C4" s="11"/>
      <c r="D4" s="12" t="s">
        <v>3</v>
      </c>
      <c r="E4" s="13"/>
      <c r="F4" s="14"/>
      <c r="G4" s="13"/>
      <c r="H4" s="13"/>
      <c r="I4" s="15"/>
    </row>
    <row r="5" spans="1:10" x14ac:dyDescent="0.25">
      <c r="A5" s="16" t="s">
        <v>4</v>
      </c>
      <c r="B5" s="17" t="s">
        <v>5</v>
      </c>
      <c r="C5" s="18" t="s">
        <v>6</v>
      </c>
      <c r="D5" s="19" t="s">
        <v>7</v>
      </c>
      <c r="E5" s="20"/>
      <c r="F5" s="20"/>
      <c r="G5" s="21" t="s">
        <v>8</v>
      </c>
      <c r="H5" s="20"/>
      <c r="I5" s="20"/>
    </row>
    <row r="6" spans="1:10" x14ac:dyDescent="0.25">
      <c r="A6" s="22" t="s">
        <v>9</v>
      </c>
      <c r="B6" s="23"/>
      <c r="C6" s="23"/>
      <c r="D6" s="24" t="s">
        <v>10</v>
      </c>
      <c r="E6" s="24" t="s">
        <v>11</v>
      </c>
      <c r="F6" s="24" t="s">
        <v>12</v>
      </c>
      <c r="G6" s="24" t="s">
        <v>13</v>
      </c>
      <c r="H6" s="24" t="s">
        <v>11</v>
      </c>
      <c r="I6" s="24" t="s">
        <v>12</v>
      </c>
    </row>
    <row r="7" spans="1:10" ht="14.25" customHeight="1" x14ac:dyDescent="0.25">
      <c r="A7" s="24">
        <v>0</v>
      </c>
      <c r="B7" s="25" t="s">
        <v>14</v>
      </c>
      <c r="C7" s="26">
        <f>11703+11516+13554+4025+20+4756+26283+34874+29104+18174+9081+13074</f>
        <v>176164</v>
      </c>
      <c r="D7" s="26"/>
      <c r="E7" s="26"/>
      <c r="F7" s="26">
        <f>2398+3717+1567+1920+20033+17338+16195+9866+8079+7064</f>
        <v>88177</v>
      </c>
      <c r="G7" s="26">
        <f>8307+7799+11987+4025+8481+5955+1076+1002+6010+20</f>
        <v>54662</v>
      </c>
      <c r="H7" s="26"/>
      <c r="I7" s="26">
        <f>998+2836+6250+9055+6954+7232</f>
        <v>33325</v>
      </c>
      <c r="J7">
        <f>SUM(F7:I7)</f>
        <v>176164</v>
      </c>
    </row>
    <row r="8" spans="1:10" ht="13.5" customHeight="1" x14ac:dyDescent="0.25">
      <c r="A8" s="24" t="s">
        <v>15</v>
      </c>
      <c r="B8" s="27" t="s">
        <v>16</v>
      </c>
      <c r="C8" s="26">
        <f>9702+11516+8548+1920+20033+17338+16195+9866+8079+7064</f>
        <v>110261</v>
      </c>
      <c r="D8" s="26"/>
      <c r="E8" s="26"/>
      <c r="F8" s="26">
        <f>2398+3717+1567+1920+20033+17338+16195+9866+8079+7064</f>
        <v>88177</v>
      </c>
      <c r="G8" s="26">
        <f>7304+7799+6981</f>
        <v>22084</v>
      </c>
      <c r="H8" s="26"/>
      <c r="I8" s="26"/>
    </row>
    <row r="9" spans="1:10" ht="12" customHeight="1" x14ac:dyDescent="0.25">
      <c r="A9" s="24" t="s">
        <v>17</v>
      </c>
      <c r="B9" s="28" t="s">
        <v>18</v>
      </c>
      <c r="C9" s="26"/>
      <c r="D9" s="26"/>
      <c r="E9" s="26"/>
      <c r="F9" s="26"/>
      <c r="G9" s="26"/>
      <c r="H9" s="26"/>
      <c r="I9" s="26"/>
    </row>
    <row r="10" spans="1:10" ht="12.75" customHeight="1" x14ac:dyDescent="0.25">
      <c r="A10" s="24" t="s">
        <v>19</v>
      </c>
      <c r="B10" s="27" t="s">
        <v>20</v>
      </c>
      <c r="C10" s="26"/>
      <c r="D10" s="26"/>
      <c r="E10" s="26"/>
      <c r="F10" s="26"/>
      <c r="G10" s="26"/>
      <c r="H10" s="26"/>
      <c r="I10" s="26"/>
    </row>
    <row r="11" spans="1:10" ht="12" customHeight="1" x14ac:dyDescent="0.25">
      <c r="A11" s="24" t="s">
        <v>21</v>
      </c>
      <c r="B11" s="29" t="s">
        <v>22</v>
      </c>
      <c r="C11" s="26"/>
      <c r="D11" s="26"/>
      <c r="E11" s="26"/>
      <c r="F11" s="26"/>
      <c r="G11" s="26"/>
      <c r="H11" s="26"/>
      <c r="I11" s="26"/>
    </row>
    <row r="12" spans="1:10" ht="12.75" customHeight="1" x14ac:dyDescent="0.25">
      <c r="A12" s="24" t="s">
        <v>23</v>
      </c>
      <c r="B12" s="27" t="s">
        <v>24</v>
      </c>
      <c r="C12" s="26"/>
      <c r="D12" s="26"/>
      <c r="E12" s="26"/>
      <c r="F12" s="26"/>
      <c r="G12" s="26"/>
      <c r="H12" s="26"/>
      <c r="I12" s="26"/>
    </row>
    <row r="13" spans="1:10" ht="12" customHeight="1" x14ac:dyDescent="0.25">
      <c r="A13" s="24" t="s">
        <v>25</v>
      </c>
      <c r="B13" s="27" t="s">
        <v>26</v>
      </c>
      <c r="C13" s="26"/>
      <c r="D13" s="26"/>
      <c r="E13" s="26"/>
      <c r="F13" s="26"/>
      <c r="G13" s="26"/>
      <c r="H13" s="26"/>
      <c r="I13" s="26"/>
    </row>
    <row r="14" spans="1:10" ht="12.75" customHeight="1" x14ac:dyDescent="0.25">
      <c r="A14" s="24" t="s">
        <v>27</v>
      </c>
      <c r="B14" s="29" t="s">
        <v>28</v>
      </c>
      <c r="C14" s="26">
        <f>998+5006+4025+6250+8481+5955+1076+1002+6010</f>
        <v>38803</v>
      </c>
      <c r="D14" s="26"/>
      <c r="E14" s="26"/>
      <c r="F14" s="26"/>
      <c r="G14" s="26">
        <f>5006+4025+8481+5955+1076+1002+6010</f>
        <v>31555</v>
      </c>
      <c r="H14" s="26"/>
      <c r="I14" s="26">
        <f>998+6250</f>
        <v>7248</v>
      </c>
    </row>
    <row r="15" spans="1:10" ht="25.5" customHeight="1" x14ac:dyDescent="0.25">
      <c r="A15" s="24" t="s">
        <v>29</v>
      </c>
      <c r="B15" s="27" t="s">
        <v>30</v>
      </c>
      <c r="C15" s="26">
        <f>2836+9055+6954+7232</f>
        <v>26077</v>
      </c>
      <c r="D15" s="26"/>
      <c r="E15" s="26"/>
      <c r="F15" s="26"/>
      <c r="G15" s="26"/>
      <c r="H15" s="26"/>
      <c r="I15" s="26">
        <f>2836+9055+6954+7232</f>
        <v>26077</v>
      </c>
    </row>
    <row r="16" spans="1:10" ht="12" customHeight="1" x14ac:dyDescent="0.25">
      <c r="A16" s="24" t="s">
        <v>31</v>
      </c>
      <c r="B16" s="27" t="s">
        <v>32</v>
      </c>
      <c r="C16" s="26"/>
      <c r="D16" s="26"/>
      <c r="E16" s="26"/>
      <c r="F16" s="26"/>
      <c r="G16" s="26"/>
      <c r="H16" s="26"/>
      <c r="I16" s="26"/>
    </row>
    <row r="17" spans="1:18" ht="11.25" customHeight="1" x14ac:dyDescent="0.25">
      <c r="A17" s="24" t="s">
        <v>33</v>
      </c>
      <c r="B17" s="27" t="s">
        <v>34</v>
      </c>
      <c r="C17" s="26"/>
      <c r="D17" s="26"/>
      <c r="E17" s="26"/>
      <c r="F17" s="26"/>
      <c r="G17" s="26"/>
      <c r="H17" s="26"/>
      <c r="I17" s="26"/>
    </row>
    <row r="18" spans="1:18" ht="24" customHeight="1" x14ac:dyDescent="0.25">
      <c r="A18" s="24" t="s">
        <v>35</v>
      </c>
      <c r="B18" s="29" t="s">
        <v>36</v>
      </c>
      <c r="C18" s="26"/>
      <c r="D18" s="26"/>
      <c r="E18" s="26"/>
      <c r="F18" s="26"/>
      <c r="G18" s="26"/>
      <c r="H18" s="26"/>
      <c r="I18" s="26"/>
    </row>
    <row r="19" spans="1:18" ht="12.75" customHeight="1" x14ac:dyDescent="0.25">
      <c r="A19" s="24" t="s">
        <v>37</v>
      </c>
      <c r="B19" s="27" t="s">
        <v>38</v>
      </c>
      <c r="C19" s="26"/>
      <c r="D19" s="26"/>
      <c r="E19" s="26"/>
      <c r="F19" s="26"/>
      <c r="G19" s="26"/>
      <c r="H19" s="26"/>
      <c r="I19" s="26"/>
    </row>
    <row r="20" spans="1:18" ht="12" customHeight="1" x14ac:dyDescent="0.25">
      <c r="A20" s="24" t="s">
        <v>39</v>
      </c>
      <c r="B20" s="27" t="s">
        <v>40</v>
      </c>
      <c r="C20" s="26"/>
      <c r="D20" s="26"/>
      <c r="E20" s="26"/>
      <c r="F20" s="26"/>
      <c r="G20" s="26"/>
      <c r="H20" s="26"/>
      <c r="I20" s="26"/>
    </row>
    <row r="21" spans="1:18" ht="12" customHeight="1" x14ac:dyDescent="0.25">
      <c r="A21" s="24" t="s">
        <v>41</v>
      </c>
      <c r="B21" s="27" t="s">
        <v>42</v>
      </c>
      <c r="C21" s="26"/>
      <c r="D21" s="26"/>
      <c r="E21" s="26"/>
      <c r="F21" s="26"/>
      <c r="G21" s="26"/>
      <c r="H21" s="26"/>
      <c r="I21" s="26"/>
    </row>
    <row r="22" spans="1:18" ht="11.25" customHeight="1" x14ac:dyDescent="0.25">
      <c r="A22" s="24" t="s">
        <v>43</v>
      </c>
      <c r="B22" s="27" t="s">
        <v>44</v>
      </c>
      <c r="C22" s="26"/>
      <c r="D22" s="26"/>
      <c r="E22" s="26"/>
      <c r="F22" s="26"/>
      <c r="G22" s="26"/>
      <c r="H22" s="26"/>
      <c r="I22" s="26"/>
    </row>
    <row r="23" spans="1:18" ht="12" customHeight="1" x14ac:dyDescent="0.25">
      <c r="A23" s="24" t="s">
        <v>45</v>
      </c>
      <c r="B23" s="27" t="s">
        <v>46</v>
      </c>
      <c r="C23" s="26"/>
      <c r="D23" s="26"/>
      <c r="E23" s="26"/>
      <c r="F23" s="26"/>
      <c r="G23" s="26"/>
      <c r="H23" s="26"/>
      <c r="I23" s="26"/>
    </row>
    <row r="24" spans="1:18" ht="12.75" customHeight="1" x14ac:dyDescent="0.25">
      <c r="A24" s="24" t="s">
        <v>47</v>
      </c>
      <c r="B24" s="27" t="s">
        <v>48</v>
      </c>
      <c r="C24" s="26"/>
      <c r="D24" s="26"/>
      <c r="E24" s="26"/>
      <c r="F24" s="26"/>
      <c r="G24" s="26"/>
      <c r="H24" s="26"/>
      <c r="I24" s="26"/>
      <c r="R24" s="40"/>
    </row>
    <row r="25" spans="1:18" ht="12" customHeight="1" x14ac:dyDescent="0.25">
      <c r="A25" s="24" t="s">
        <v>49</v>
      </c>
      <c r="B25" s="27" t="s">
        <v>50</v>
      </c>
      <c r="C25" s="26"/>
      <c r="D25" s="26"/>
      <c r="E25" s="26"/>
      <c r="F25" s="26"/>
      <c r="G25" s="26"/>
      <c r="H25" s="26"/>
      <c r="I25" s="26"/>
    </row>
    <row r="26" spans="1:18" ht="12" customHeight="1" x14ac:dyDescent="0.25">
      <c r="A26" s="24" t="s">
        <v>51</v>
      </c>
      <c r="B26" s="27" t="s">
        <v>52</v>
      </c>
      <c r="C26" s="26"/>
      <c r="D26" s="26"/>
      <c r="E26" s="26"/>
      <c r="F26" s="26"/>
      <c r="G26" s="26"/>
      <c r="H26" s="26"/>
      <c r="I26" s="26"/>
    </row>
    <row r="27" spans="1:18" ht="12.75" customHeight="1" x14ac:dyDescent="0.25">
      <c r="A27" s="24" t="s">
        <v>53</v>
      </c>
      <c r="B27" s="27" t="s">
        <v>54</v>
      </c>
      <c r="C27" s="26"/>
      <c r="D27" s="26"/>
      <c r="E27" s="26"/>
      <c r="F27" s="26"/>
      <c r="G27" s="26"/>
      <c r="H27" s="26"/>
      <c r="I27" s="26"/>
    </row>
    <row r="28" spans="1:18" ht="12" customHeight="1" x14ac:dyDescent="0.25">
      <c r="A28" s="24" t="s">
        <v>55</v>
      </c>
      <c r="B28" s="27" t="s">
        <v>56</v>
      </c>
      <c r="C28" s="26">
        <f>1003+20</f>
        <v>1023</v>
      </c>
      <c r="D28" s="26"/>
      <c r="E28" s="26"/>
      <c r="F28" s="26"/>
      <c r="G28" s="26">
        <f>1003+20</f>
        <v>1023</v>
      </c>
      <c r="H28" s="26"/>
      <c r="I28" s="26"/>
    </row>
    <row r="29" spans="1:18" ht="12.75" customHeight="1" x14ac:dyDescent="0.25">
      <c r="A29" s="24" t="s">
        <v>57</v>
      </c>
      <c r="B29" s="27" t="s">
        <v>58</v>
      </c>
      <c r="C29" s="26"/>
      <c r="D29" s="26"/>
      <c r="E29" s="26"/>
      <c r="F29" s="26"/>
      <c r="G29" s="26"/>
      <c r="H29" s="26"/>
      <c r="I29" s="26"/>
    </row>
    <row r="30" spans="1:18" ht="10.5" customHeight="1" x14ac:dyDescent="0.25">
      <c r="A30" s="24" t="s">
        <v>59</v>
      </c>
      <c r="B30" s="29" t="s">
        <v>60</v>
      </c>
      <c r="C30" s="26"/>
      <c r="D30" s="26"/>
      <c r="E30" s="26"/>
      <c r="F30" s="26"/>
      <c r="G30" s="26"/>
      <c r="H30" s="26"/>
      <c r="I30" s="26"/>
    </row>
    <row r="31" spans="1:18" ht="12.75" customHeight="1" x14ac:dyDescent="0.25">
      <c r="A31" s="24" t="s">
        <v>61</v>
      </c>
      <c r="B31" s="27" t="s">
        <v>62</v>
      </c>
      <c r="C31" s="26"/>
      <c r="D31" s="26"/>
      <c r="E31" s="26"/>
      <c r="F31" s="26"/>
      <c r="G31" s="26"/>
      <c r="H31" s="26"/>
      <c r="I31" s="26"/>
    </row>
    <row r="32" spans="1:18" ht="11.25" customHeight="1" x14ac:dyDescent="0.25">
      <c r="A32" s="24" t="s">
        <v>63</v>
      </c>
      <c r="B32" s="27" t="s">
        <v>64</v>
      </c>
      <c r="C32" s="26"/>
      <c r="D32" s="26"/>
      <c r="E32" s="26"/>
      <c r="F32" s="26"/>
      <c r="G32" s="26"/>
      <c r="H32" s="26"/>
      <c r="I32" s="26"/>
    </row>
    <row r="33" spans="1:9" x14ac:dyDescent="0.25">
      <c r="A33" s="33" t="s">
        <v>4</v>
      </c>
      <c r="B33" s="34" t="s">
        <v>65</v>
      </c>
      <c r="C33" s="35">
        <f>11+13+14+4+1+4+23+32+29+24+11+14</f>
        <v>180</v>
      </c>
      <c r="D33" s="35"/>
      <c r="E33" s="35"/>
      <c r="F33" s="35"/>
      <c r="G33" s="35"/>
      <c r="H33" s="35"/>
      <c r="I33" s="35"/>
    </row>
    <row r="34" spans="1:9" x14ac:dyDescent="0.25">
      <c r="A34" s="5"/>
      <c r="B34" s="36" t="s">
        <v>3</v>
      </c>
      <c r="C34" s="37"/>
      <c r="D34" s="38"/>
      <c r="E34" s="38"/>
      <c r="F34" s="38"/>
      <c r="G34" s="38"/>
      <c r="H34" s="38"/>
      <c r="I34" s="38"/>
    </row>
    <row r="35" spans="1:9" x14ac:dyDescent="0.25">
      <c r="A35" s="5"/>
      <c r="B35" s="36" t="s">
        <v>66</v>
      </c>
      <c r="C35" s="39">
        <f>11+13+14+4+1+4+23+32+29+22+11+14</f>
        <v>178</v>
      </c>
      <c r="D35" s="38"/>
      <c r="E35" s="38"/>
      <c r="F35" s="38"/>
      <c r="G35" s="38"/>
      <c r="H35" s="38"/>
      <c r="I35" s="38"/>
    </row>
    <row r="36" spans="1:9" x14ac:dyDescent="0.25">
      <c r="A36" s="5"/>
      <c r="B36" s="36" t="s">
        <v>67</v>
      </c>
      <c r="C36" s="39">
        <f>0+0+0+0+0+0+2+2+0</f>
        <v>4</v>
      </c>
      <c r="D36" s="38"/>
      <c r="E36" s="38"/>
      <c r="F36" s="38"/>
      <c r="G36" s="38"/>
      <c r="H36" s="38"/>
      <c r="I36" s="38"/>
    </row>
  </sheetData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Sheet2</vt:lpstr>
      <vt:lpstr>MOLDOVA V</vt:lpstr>
      <vt:lpstr>ORSOVA</vt:lpstr>
      <vt:lpstr>Dr.Tr.Severin</vt:lpstr>
      <vt:lpstr>CALAFAT</vt:lpstr>
      <vt:lpstr>BECHET</vt:lpstr>
      <vt:lpstr>CORABIA</vt:lpstr>
      <vt:lpstr>GIURGIU</vt:lpstr>
      <vt:lpstr>OLTENITA</vt:lpstr>
      <vt:lpstr>CHICIU</vt:lpstr>
      <vt:lpstr>CALARASI COM</vt:lpstr>
      <vt:lpstr>CALARASI INDUS.</vt:lpstr>
      <vt:lpstr>Cernavoda </vt:lpstr>
      <vt:lpstr>Total trafic 2021 </vt:lpstr>
      <vt:lpstr>Trafic marfa trim. I-2021</vt:lpstr>
      <vt:lpstr>Trafic marfa trim.II-2021</vt:lpstr>
      <vt:lpstr>Trafic marfa trim.III-2021</vt:lpstr>
      <vt:lpstr>Trafic marfa trim.IV- 2021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2022-03-25T07:26:42Z</cp:lastPrinted>
  <dcterms:created xsi:type="dcterms:W3CDTF">2019-05-06T12:06:13Z</dcterms:created>
  <dcterms:modified xsi:type="dcterms:W3CDTF">2022-05-17T10:24:45Z</dcterms:modified>
</cp:coreProperties>
</file>